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bresysinc-my.sharepoint.us/personal/mbodoh_sabresystems_com/Documents/CRRTDEV/readinessStandards/attachments/"/>
    </mc:Choice>
  </mc:AlternateContent>
  <xr:revisionPtr revIDLastSave="0" documentId="8_{6561C78C-79DA-47E9-8C26-4F2E55917D85}" xr6:coauthVersionLast="47" xr6:coauthVersionMax="47" xr10:uidLastSave="{00000000-0000-0000-0000-000000000000}"/>
  <bookViews>
    <workbookView xWindow="-120" yWindow="-120" windowWidth="29040" windowHeight="15840" tabRatio="812" xr2:uid="{00000000-000D-0000-FFFF-FFFF00000000}"/>
  </bookViews>
  <sheets>
    <sheet name="Inventory" sheetId="7" r:id="rId1"/>
    <sheet name="Log" sheetId="8" r:id="rId2"/>
    <sheet name="MQ-8C SUW 1 Plane - 2 Crew" sheetId="26" r:id="rId3"/>
    <sheet name="MQ-8C MIW 1 Plane - 2 Crew" sheetId="24" r:id="rId4"/>
    <sheet name="MQ-8C Matrix MIW" sheetId="29" r:id="rId5"/>
    <sheet name="MQ-8C Matrix SUW" sheetId="23" r:id="rId6"/>
    <sheet name="MQ-8C Mission System Summary" sheetId="3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PAA6">'[1]VS32 Jun05 NAVRIIP'!$A$13:$AB$42</definedName>
    <definedName name="_______PAA8">'[2]VS22 OCT04 NAVRIIP Worksheet'!$B$13:$AB$42</definedName>
    <definedName name="______PAA6">'[1]VS32 Jun05 NAVRIIP'!$A$13:$AB$42</definedName>
    <definedName name="______PAA8">'[2]VS22 OCT04 NAVRIIP Worksheet'!$B$13:$AB$42</definedName>
    <definedName name="____PAA6">'[3]VS32 Jun05 NAVRIIP'!$A$13:$AB$42</definedName>
    <definedName name="____PAA8">'[4]VS22 OCT04 NAVRIIP Worksheet'!$B$13:$AB$42</definedName>
    <definedName name="___PAA6" localSheetId="3">'[1]VS32 Jun05 NAVRIIP'!$A$13:$AB$42</definedName>
    <definedName name="___PAA6" localSheetId="2">'[1]VS32 Jun05 NAVRIIP'!$A$13:$AB$42</definedName>
    <definedName name="___PAA6">'[3]VS32 Jun05 NAVRIIP'!$A$13:$AB$42</definedName>
    <definedName name="___PAA8" localSheetId="3">'[2]VS22 OCT04 NAVRIIP Worksheet'!$B$13:$AB$42</definedName>
    <definedName name="___PAA8" localSheetId="2">'[2]VS22 OCT04 NAVRIIP Worksheet'!$B$13:$AB$42</definedName>
    <definedName name="___PAA8">'[4]VS22 OCT04 NAVRIIP Worksheet'!$B$13:$AB$42</definedName>
    <definedName name="__PAA6" localSheetId="3">'[5]VS32 Jun05 NAVRIIP'!$A$13:$AB$42</definedName>
    <definedName name="__PAA6" localSheetId="2">'[5]VS32 Jun05 NAVRIIP'!$A$13:$AB$42</definedName>
    <definedName name="__PAA6">'[3]VS32 Jun05 NAVRIIP'!$A$13:$AB$42</definedName>
    <definedName name="__PAA8" localSheetId="3">'[6]VS22 OCT04 NAVRIIP Worksheet'!$B$13:$AB$42</definedName>
    <definedName name="__PAA8" localSheetId="2">'[6]VS22 OCT04 NAVRIIP Worksheet'!$B$13:$AB$42</definedName>
    <definedName name="__PAA8">'[4]VS22 OCT04 NAVRIIP Worksheet'!$B$13:$AB$42</definedName>
    <definedName name="_PAA6" localSheetId="3">'[7]VS32 Jun05 NAVRIIP'!$A$13:$AB$42</definedName>
    <definedName name="_PAA6" localSheetId="2">'[7]VS32 Jun05 NAVRIIP'!$A$13:$AB$42</definedName>
    <definedName name="_PAA6">'[3]VS32 Jun05 NAVRIIP'!$A$13:$AB$42</definedName>
    <definedName name="_PAA8" localSheetId="3">'[8]VS22 OCT04 NAVRIIP Worksheet'!$B$13:$AB$42</definedName>
    <definedName name="_PAA8" localSheetId="2">'[8]VS22 OCT04 NAVRIIP Worksheet'!$B$13:$AB$42</definedName>
    <definedName name="_PAA8">'[4]VS22 OCT04 NAVRIIP Worksheet'!$B$13:$AB$42</definedName>
    <definedName name="NDEPUTIL" localSheetId="4">'[9]HSC EXP 2 AC CSG ESG W FRS STND'!#REF!</definedName>
    <definedName name="NDEPUTIL" localSheetId="3">'[10]HSC EXP 2 AC CSG ESG W FRS STND'!#REF!</definedName>
    <definedName name="NDEPUTIL" localSheetId="2">'[10]HSC EXP 2 AC CSG ESG W FRS STND'!#REF!</definedName>
    <definedName name="NDEPUTIL">'[9]HSC EXP 2 AC CSG ESG W FRS STND'!#REF!</definedName>
    <definedName name="New" localSheetId="4">'[11]HSC EXP 2 AC CSG ESG W FRS STND'!#REF!</definedName>
    <definedName name="New" localSheetId="3">'[11]HSC EXP 2 AC CSG ESG W FRS STND'!#REF!</definedName>
    <definedName name="New" localSheetId="2">'[11]HSC EXP 2 AC CSG ESG W FRS STND'!#REF!</definedName>
    <definedName name="New">'[11]HSC EXP 2 AC CSG ESG W FRS STND'!#REF!</definedName>
    <definedName name="_xlnm.Print_Area" localSheetId="3">'MQ-8C MIW 1 Plane - 2 Crew'!$A$1:$P$61</definedName>
    <definedName name="_xlnm.Print_Area" localSheetId="2">'MQ-8C SUW 1 Plane - 2 Crew'!$A$1:$P$61</definedName>
    <definedName name="thing" localSheetId="4">'[11]HSC EXP 2 AC CSG ESG W FRS STND'!#REF!</definedName>
    <definedName name="thing" localSheetId="2">'[11]HSC EXP 2 AC CSG ESG W FRS STND'!#REF!</definedName>
    <definedName name="thing">'[11]HSC EXP 2 AC CSG ESG W FRS STND'!#REF!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E6" i="7" s="1"/>
  <c r="A6" i="7"/>
  <c r="B107" i="26"/>
  <c r="B106" i="24"/>
  <c r="B112" i="24"/>
  <c r="B111" i="24"/>
  <c r="B110" i="24"/>
  <c r="B109" i="24"/>
  <c r="B108" i="24"/>
  <c r="B107" i="24"/>
  <c r="B112" i="26"/>
  <c r="B111" i="26"/>
  <c r="B110" i="26"/>
  <c r="B109" i="26"/>
  <c r="B108" i="26"/>
  <c r="B106" i="26"/>
  <c r="C2" i="30"/>
  <c r="B105" i="26" s="1"/>
  <c r="B2" i="30" l="1"/>
  <c r="B105" i="24" s="1"/>
  <c r="B3" i="26" l="1"/>
  <c r="B3" i="24" l="1"/>
  <c r="C3" i="7"/>
  <c r="C2" i="7"/>
  <c r="D2" i="7"/>
  <c r="D3" i="7"/>
  <c r="D4" i="7"/>
  <c r="E4" i="7" s="1"/>
  <c r="A4" i="7"/>
  <c r="A3" i="7"/>
  <c r="A2" i="7"/>
  <c r="B35" i="26" l="1"/>
  <c r="C57" i="24" l="1"/>
  <c r="D57" i="24"/>
  <c r="E57" i="24"/>
  <c r="F57" i="24"/>
  <c r="G57" i="24"/>
  <c r="H57" i="24"/>
  <c r="I57" i="24"/>
  <c r="J57" i="24"/>
  <c r="K57" i="24"/>
  <c r="L57" i="24"/>
  <c r="C56" i="24"/>
  <c r="D56" i="24"/>
  <c r="E56" i="24"/>
  <c r="F56" i="24"/>
  <c r="G56" i="24"/>
  <c r="H56" i="24"/>
  <c r="I56" i="24"/>
  <c r="J56" i="24"/>
  <c r="K56" i="24"/>
  <c r="L56" i="24"/>
  <c r="B57" i="24"/>
  <c r="B55" i="24"/>
  <c r="B56" i="24"/>
  <c r="A55" i="24"/>
  <c r="A56" i="24"/>
  <c r="A57" i="24"/>
  <c r="C57" i="26"/>
  <c r="D57" i="26"/>
  <c r="E57" i="26"/>
  <c r="F57" i="26"/>
  <c r="G57" i="26"/>
  <c r="H57" i="26"/>
  <c r="I57" i="26"/>
  <c r="J57" i="26"/>
  <c r="K57" i="26"/>
  <c r="L57" i="26"/>
  <c r="C56" i="26"/>
  <c r="D56" i="26"/>
  <c r="E56" i="26"/>
  <c r="F56" i="26"/>
  <c r="G56" i="26"/>
  <c r="H56" i="26"/>
  <c r="I56" i="26"/>
  <c r="J56" i="26"/>
  <c r="K56" i="26"/>
  <c r="L56" i="26"/>
  <c r="B55" i="26"/>
  <c r="B56" i="26"/>
  <c r="B57" i="26"/>
  <c r="A55" i="26"/>
  <c r="A56" i="26"/>
  <c r="A57" i="26"/>
  <c r="A101" i="26" l="1"/>
  <c r="A100" i="26"/>
  <c r="A99" i="26"/>
  <c r="A98" i="26"/>
  <c r="A97" i="26"/>
  <c r="A96" i="26"/>
  <c r="A95" i="26"/>
  <c r="A94" i="26"/>
  <c r="A93" i="26"/>
  <c r="B70" i="26"/>
  <c r="H64" i="26" s="1"/>
  <c r="L68" i="26"/>
  <c r="K68" i="26"/>
  <c r="J68" i="26"/>
  <c r="I68" i="26"/>
  <c r="H68" i="26"/>
  <c r="G68" i="26"/>
  <c r="L67" i="26"/>
  <c r="K67" i="26"/>
  <c r="J67" i="26"/>
  <c r="I67" i="26"/>
  <c r="H67" i="26"/>
  <c r="H18" i="26" s="1"/>
  <c r="G67" i="26"/>
  <c r="G18" i="26" s="1"/>
  <c r="F67" i="26"/>
  <c r="F18" i="26" s="1"/>
  <c r="L58" i="26"/>
  <c r="K58" i="26"/>
  <c r="J58" i="26"/>
  <c r="I58" i="26"/>
  <c r="H58" i="26"/>
  <c r="G58" i="26"/>
  <c r="F58" i="26"/>
  <c r="E58" i="26"/>
  <c r="D58" i="26"/>
  <c r="C58" i="26"/>
  <c r="B58" i="26"/>
  <c r="A58" i="26"/>
  <c r="L55" i="26"/>
  <c r="K55" i="26"/>
  <c r="J55" i="26"/>
  <c r="I55" i="26"/>
  <c r="H55" i="26"/>
  <c r="G55" i="26"/>
  <c r="F55" i="26"/>
  <c r="E55" i="26"/>
  <c r="D55" i="26"/>
  <c r="C55" i="26"/>
  <c r="L54" i="26"/>
  <c r="K54" i="26"/>
  <c r="J54" i="26"/>
  <c r="I54" i="26"/>
  <c r="H54" i="26"/>
  <c r="G54" i="26"/>
  <c r="F54" i="26"/>
  <c r="E54" i="26"/>
  <c r="D54" i="26"/>
  <c r="C54" i="26"/>
  <c r="B54" i="26"/>
  <c r="A54" i="26"/>
  <c r="L53" i="26"/>
  <c r="K53" i="26"/>
  <c r="J53" i="26"/>
  <c r="I53" i="26"/>
  <c r="H53" i="26"/>
  <c r="G53" i="26"/>
  <c r="F53" i="26"/>
  <c r="E53" i="26"/>
  <c r="D53" i="26"/>
  <c r="C53" i="26"/>
  <c r="B53" i="26"/>
  <c r="A53" i="26"/>
  <c r="L52" i="26"/>
  <c r="K52" i="26"/>
  <c r="J52" i="26"/>
  <c r="I52" i="26"/>
  <c r="H52" i="26"/>
  <c r="G52" i="26"/>
  <c r="F52" i="26"/>
  <c r="E52" i="26"/>
  <c r="D52" i="26"/>
  <c r="C52" i="26"/>
  <c r="B52" i="26"/>
  <c r="A52" i="26"/>
  <c r="L51" i="26"/>
  <c r="K51" i="26"/>
  <c r="J51" i="26"/>
  <c r="I51" i="26"/>
  <c r="H51" i="26"/>
  <c r="G51" i="26"/>
  <c r="F51" i="26"/>
  <c r="E51" i="26"/>
  <c r="D51" i="26"/>
  <c r="C51" i="26"/>
  <c r="B51" i="26"/>
  <c r="A51" i="26"/>
  <c r="L50" i="26"/>
  <c r="K50" i="26"/>
  <c r="J50" i="26"/>
  <c r="I50" i="26"/>
  <c r="H50" i="26"/>
  <c r="G50" i="26"/>
  <c r="F50" i="26"/>
  <c r="E50" i="26"/>
  <c r="D50" i="26"/>
  <c r="C50" i="26"/>
  <c r="B50" i="26"/>
  <c r="A50" i="26"/>
  <c r="L35" i="26"/>
  <c r="K35" i="26"/>
  <c r="K47" i="26" s="1"/>
  <c r="J35" i="26"/>
  <c r="I35" i="26"/>
  <c r="I47" i="26" s="1"/>
  <c r="H35" i="26"/>
  <c r="H47" i="26" s="1"/>
  <c r="G35" i="26"/>
  <c r="G47" i="26" s="1"/>
  <c r="F35" i="26"/>
  <c r="E35" i="26"/>
  <c r="E47" i="26" s="1"/>
  <c r="D35" i="26"/>
  <c r="D47" i="26" s="1"/>
  <c r="C35" i="26"/>
  <c r="C47" i="26" s="1"/>
  <c r="B47" i="26"/>
  <c r="L33" i="26"/>
  <c r="L36" i="26" s="1"/>
  <c r="K33" i="26"/>
  <c r="K36" i="26" s="1"/>
  <c r="J33" i="26"/>
  <c r="J36" i="26" s="1"/>
  <c r="I33" i="26"/>
  <c r="I36" i="26" s="1"/>
  <c r="H33" i="26"/>
  <c r="H36" i="26" s="1"/>
  <c r="G33" i="26"/>
  <c r="G36" i="26" s="1"/>
  <c r="F33" i="26"/>
  <c r="F36" i="26" s="1"/>
  <c r="E33" i="26"/>
  <c r="E36" i="26" s="1"/>
  <c r="D33" i="26"/>
  <c r="D36" i="26" s="1"/>
  <c r="C33" i="26"/>
  <c r="C36" i="26" s="1"/>
  <c r="B33" i="26"/>
  <c r="B36" i="26" s="1"/>
  <c r="L30" i="26"/>
  <c r="K30" i="26"/>
  <c r="J30" i="26"/>
  <c r="I30" i="26"/>
  <c r="H30" i="26"/>
  <c r="G30" i="26"/>
  <c r="F27" i="26"/>
  <c r="E27" i="26"/>
  <c r="D27" i="26"/>
  <c r="C27" i="26"/>
  <c r="B27" i="26"/>
  <c r="F24" i="26"/>
  <c r="E24" i="26"/>
  <c r="D24" i="26"/>
  <c r="C24" i="26"/>
  <c r="B24" i="26"/>
  <c r="B21" i="26"/>
  <c r="B22" i="26" s="1"/>
  <c r="L18" i="26"/>
  <c r="K18" i="26"/>
  <c r="J18" i="26"/>
  <c r="I18" i="26"/>
  <c r="B11" i="26"/>
  <c r="F30" i="26" s="1"/>
  <c r="B10" i="26"/>
  <c r="I24" i="26" s="1"/>
  <c r="B9" i="26"/>
  <c r="I23" i="26" s="1"/>
  <c r="B7" i="26"/>
  <c r="B8" i="26" s="1"/>
  <c r="B21" i="24"/>
  <c r="B48" i="26" l="1"/>
  <c r="B45" i="26"/>
  <c r="B39" i="26"/>
  <c r="B34" i="26"/>
  <c r="B37" i="26" s="1"/>
  <c r="B42" i="26"/>
  <c r="B43" i="26"/>
  <c r="B44" i="26"/>
  <c r="B41" i="26"/>
  <c r="B40" i="26"/>
  <c r="J44" i="26"/>
  <c r="J42" i="26"/>
  <c r="J39" i="26"/>
  <c r="J40" i="26"/>
  <c r="J45" i="26"/>
  <c r="J43" i="26"/>
  <c r="J41" i="26"/>
  <c r="J34" i="26"/>
  <c r="J37" i="26" s="1"/>
  <c r="H44" i="26"/>
  <c r="H43" i="26"/>
  <c r="H42" i="26"/>
  <c r="H39" i="26"/>
  <c r="H41" i="26"/>
  <c r="H45" i="26"/>
  <c r="H40" i="26"/>
  <c r="H34" i="26"/>
  <c r="H37" i="26" s="1"/>
  <c r="I44" i="26"/>
  <c r="I42" i="26"/>
  <c r="I39" i="26"/>
  <c r="I45" i="26"/>
  <c r="I40" i="26"/>
  <c r="I34" i="26"/>
  <c r="I37" i="26" s="1"/>
  <c r="I43" i="26"/>
  <c r="I41" i="26"/>
  <c r="C45" i="26"/>
  <c r="C34" i="26"/>
  <c r="C37" i="26" s="1"/>
  <c r="C43" i="26"/>
  <c r="C41" i="26"/>
  <c r="C44" i="26"/>
  <c r="C42" i="26"/>
  <c r="C40" i="26"/>
  <c r="C39" i="26"/>
  <c r="K44" i="26"/>
  <c r="K41" i="26"/>
  <c r="K40" i="26"/>
  <c r="K34" i="26"/>
  <c r="K37" i="26" s="1"/>
  <c r="K43" i="26"/>
  <c r="K39" i="26"/>
  <c r="K45" i="26"/>
  <c r="K42" i="26"/>
  <c r="L44" i="26"/>
  <c r="L41" i="26"/>
  <c r="L43" i="26"/>
  <c r="L40" i="26"/>
  <c r="L34" i="26"/>
  <c r="L37" i="26" s="1"/>
  <c r="L42" i="26"/>
  <c r="L39" i="26"/>
  <c r="L45" i="26"/>
  <c r="G44" i="26"/>
  <c r="G39" i="26"/>
  <c r="G40" i="26"/>
  <c r="G42" i="26"/>
  <c r="G41" i="26"/>
  <c r="G43" i="26"/>
  <c r="G45" i="26"/>
  <c r="G34" i="26"/>
  <c r="G37" i="26" s="1"/>
  <c r="D43" i="26"/>
  <c r="D45" i="26"/>
  <c r="D41" i="26"/>
  <c r="D39" i="26"/>
  <c r="D44" i="26"/>
  <c r="D42" i="26"/>
  <c r="D40" i="26"/>
  <c r="D34" i="26"/>
  <c r="D37" i="26" s="1"/>
  <c r="E44" i="26"/>
  <c r="E41" i="26"/>
  <c r="E39" i="26"/>
  <c r="E40" i="26"/>
  <c r="E45" i="26"/>
  <c r="E43" i="26"/>
  <c r="E34" i="26"/>
  <c r="E37" i="26" s="1"/>
  <c r="E42" i="26"/>
  <c r="F43" i="26"/>
  <c r="F41" i="26"/>
  <c r="F40" i="26"/>
  <c r="F44" i="26"/>
  <c r="F45" i="26"/>
  <c r="F42" i="26"/>
  <c r="F39" i="26"/>
  <c r="F34" i="26"/>
  <c r="F37" i="26" s="1"/>
  <c r="G21" i="26"/>
  <c r="B30" i="26"/>
  <c r="K24" i="26"/>
  <c r="L64" i="26"/>
  <c r="C68" i="26"/>
  <c r="I48" i="26"/>
  <c r="J48" i="26"/>
  <c r="K48" i="26"/>
  <c r="F21" i="26"/>
  <c r="F22" i="26" s="1"/>
  <c r="J24" i="26"/>
  <c r="C30" i="26"/>
  <c r="E23" i="26"/>
  <c r="D64" i="26"/>
  <c r="E64" i="26"/>
  <c r="C48" i="26"/>
  <c r="J21" i="26"/>
  <c r="F47" i="26"/>
  <c r="E21" i="26"/>
  <c r="D30" i="26"/>
  <c r="L21" i="26"/>
  <c r="L22" i="26" s="1"/>
  <c r="L26" i="26" s="1"/>
  <c r="D68" i="26"/>
  <c r="E48" i="26"/>
  <c r="F48" i="26"/>
  <c r="L48" i="26"/>
  <c r="G22" i="26"/>
  <c r="G48" i="26"/>
  <c r="D48" i="26"/>
  <c r="H48" i="26"/>
  <c r="D21" i="26"/>
  <c r="F23" i="26"/>
  <c r="L24" i="26"/>
  <c r="F64" i="26"/>
  <c r="E68" i="26"/>
  <c r="H21" i="26"/>
  <c r="B23" i="26"/>
  <c r="B25" i="26" s="1"/>
  <c r="J23" i="26"/>
  <c r="G24" i="26"/>
  <c r="J47" i="26"/>
  <c r="I64" i="26"/>
  <c r="G23" i="26"/>
  <c r="G25" i="26" s="1"/>
  <c r="I21" i="26"/>
  <c r="C23" i="26"/>
  <c r="K23" i="26"/>
  <c r="B64" i="26"/>
  <c r="J64" i="26"/>
  <c r="K21" i="26"/>
  <c r="H24" i="26"/>
  <c r="D23" i="26"/>
  <c r="L23" i="26"/>
  <c r="L47" i="26"/>
  <c r="C64" i="26"/>
  <c r="K64" i="26"/>
  <c r="B68" i="26"/>
  <c r="H23" i="26"/>
  <c r="E30" i="26"/>
  <c r="G64" i="26"/>
  <c r="F68" i="26"/>
  <c r="B71" i="26"/>
  <c r="C21" i="26"/>
  <c r="E25" i="26" l="1"/>
  <c r="E22" i="26"/>
  <c r="J25" i="26"/>
  <c r="F25" i="26"/>
  <c r="L25" i="26"/>
  <c r="L27" i="26" s="1"/>
  <c r="J22" i="26"/>
  <c r="J26" i="26" s="1"/>
  <c r="J27" i="26" s="1"/>
  <c r="G27" i="26"/>
  <c r="G28" i="26"/>
  <c r="K25" i="26"/>
  <c r="K22" i="26"/>
  <c r="K26" i="26" s="1"/>
  <c r="B67" i="26"/>
  <c r="B18" i="26" s="1"/>
  <c r="E65" i="26"/>
  <c r="J65" i="26"/>
  <c r="B65" i="26"/>
  <c r="L65" i="26"/>
  <c r="D65" i="26"/>
  <c r="C65" i="26"/>
  <c r="I65" i="26"/>
  <c r="E67" i="26"/>
  <c r="E18" i="26" s="1"/>
  <c r="H65" i="26"/>
  <c r="D67" i="26"/>
  <c r="D18" i="26" s="1"/>
  <c r="G65" i="26"/>
  <c r="C67" i="26"/>
  <c r="C18" i="26" s="1"/>
  <c r="F65" i="26"/>
  <c r="K65" i="26"/>
  <c r="I25" i="26"/>
  <c r="I22" i="26"/>
  <c r="I26" i="26" s="1"/>
  <c r="H22" i="26"/>
  <c r="H25" i="26"/>
  <c r="C25" i="26"/>
  <c r="C22" i="26"/>
  <c r="D22" i="26"/>
  <c r="D25" i="26"/>
  <c r="B28" i="26" l="1"/>
  <c r="K28" i="26"/>
  <c r="L28" i="26"/>
  <c r="K27" i="26"/>
  <c r="I27" i="26"/>
  <c r="F28" i="26"/>
  <c r="D28" i="26"/>
  <c r="C28" i="26"/>
  <c r="E28" i="26"/>
  <c r="J28" i="26"/>
  <c r="H27" i="26"/>
  <c r="H28" i="26"/>
  <c r="I28" i="26"/>
  <c r="B70" i="24" l="1"/>
  <c r="B7" i="24" l="1"/>
  <c r="B8" i="24" s="1"/>
  <c r="B9" i="24"/>
  <c r="I23" i="24" s="1"/>
  <c r="B10" i="24"/>
  <c r="K24" i="24" s="1"/>
  <c r="B11" i="24"/>
  <c r="E30" i="24" s="1"/>
  <c r="B24" i="24"/>
  <c r="C24" i="24"/>
  <c r="D24" i="24"/>
  <c r="E24" i="24"/>
  <c r="F24" i="24"/>
  <c r="G30" i="24"/>
  <c r="H30" i="24"/>
  <c r="I30" i="24"/>
  <c r="J30" i="24"/>
  <c r="K30" i="24"/>
  <c r="L30" i="24"/>
  <c r="B33" i="24"/>
  <c r="B36" i="24" s="1"/>
  <c r="C33" i="24"/>
  <c r="C36" i="24" s="1"/>
  <c r="D33" i="24"/>
  <c r="D36" i="24" s="1"/>
  <c r="E33" i="24"/>
  <c r="E36" i="24" s="1"/>
  <c r="F33" i="24"/>
  <c r="F36" i="24" s="1"/>
  <c r="G33" i="24"/>
  <c r="G36" i="24" s="1"/>
  <c r="H33" i="24"/>
  <c r="H36" i="24" s="1"/>
  <c r="I33" i="24"/>
  <c r="I36" i="24" s="1"/>
  <c r="J33" i="24"/>
  <c r="J36" i="24" s="1"/>
  <c r="K33" i="24"/>
  <c r="K36" i="24" s="1"/>
  <c r="L33" i="24"/>
  <c r="L36" i="24" s="1"/>
  <c r="B35" i="24"/>
  <c r="B47" i="24" s="1"/>
  <c r="C35" i="24"/>
  <c r="D35" i="24"/>
  <c r="D47" i="24" s="1"/>
  <c r="E35" i="24"/>
  <c r="E47" i="24" s="1"/>
  <c r="F35" i="24"/>
  <c r="F47" i="24" s="1"/>
  <c r="G35" i="24"/>
  <c r="G47" i="24" s="1"/>
  <c r="H35" i="24"/>
  <c r="H47" i="24" s="1"/>
  <c r="I35" i="24"/>
  <c r="I47" i="24" s="1"/>
  <c r="J35" i="24"/>
  <c r="J47" i="24" s="1"/>
  <c r="K35" i="24"/>
  <c r="K47" i="24" s="1"/>
  <c r="L35" i="24"/>
  <c r="A50" i="24"/>
  <c r="B50" i="24"/>
  <c r="C50" i="24"/>
  <c r="D50" i="24"/>
  <c r="E50" i="24"/>
  <c r="F50" i="24"/>
  <c r="G50" i="24"/>
  <c r="H50" i="24"/>
  <c r="I50" i="24"/>
  <c r="J50" i="24"/>
  <c r="K50" i="24"/>
  <c r="L50" i="24"/>
  <c r="A51" i="24"/>
  <c r="B51" i="24"/>
  <c r="C51" i="24"/>
  <c r="D51" i="24"/>
  <c r="E51" i="24"/>
  <c r="F51" i="24"/>
  <c r="G51" i="24"/>
  <c r="H51" i="24"/>
  <c r="I51" i="24"/>
  <c r="J51" i="24"/>
  <c r="K51" i="24"/>
  <c r="L51" i="24"/>
  <c r="A52" i="24"/>
  <c r="B52" i="24"/>
  <c r="C52" i="24"/>
  <c r="D52" i="24"/>
  <c r="E52" i="24"/>
  <c r="F52" i="24"/>
  <c r="G52" i="24"/>
  <c r="H52" i="24"/>
  <c r="I52" i="24"/>
  <c r="J52" i="24"/>
  <c r="K52" i="24"/>
  <c r="L52" i="24"/>
  <c r="A53" i="24"/>
  <c r="B53" i="24"/>
  <c r="C53" i="24"/>
  <c r="D53" i="24"/>
  <c r="E53" i="24"/>
  <c r="F53" i="24"/>
  <c r="G53" i="24"/>
  <c r="H53" i="24"/>
  <c r="I53" i="24"/>
  <c r="J53" i="24"/>
  <c r="K53" i="24"/>
  <c r="L53" i="24"/>
  <c r="A54" i="24"/>
  <c r="B54" i="24"/>
  <c r="C54" i="24"/>
  <c r="D54" i="24"/>
  <c r="E54" i="24"/>
  <c r="F54" i="24"/>
  <c r="G54" i="24"/>
  <c r="H54" i="24"/>
  <c r="I54" i="24"/>
  <c r="J54" i="24"/>
  <c r="K54" i="24"/>
  <c r="L54" i="24"/>
  <c r="C55" i="24"/>
  <c r="D55" i="24"/>
  <c r="E55" i="24"/>
  <c r="F55" i="24"/>
  <c r="G55" i="24"/>
  <c r="H55" i="24"/>
  <c r="I55" i="24"/>
  <c r="J55" i="24"/>
  <c r="K55" i="24"/>
  <c r="L55" i="24"/>
  <c r="A58" i="24"/>
  <c r="B58" i="24"/>
  <c r="C58" i="24"/>
  <c r="D58" i="24"/>
  <c r="E58" i="24"/>
  <c r="F58" i="24"/>
  <c r="G58" i="24"/>
  <c r="H58" i="24"/>
  <c r="I58" i="24"/>
  <c r="J58" i="24"/>
  <c r="K58" i="24"/>
  <c r="L58" i="24"/>
  <c r="B64" i="24"/>
  <c r="C64" i="24"/>
  <c r="D64" i="24"/>
  <c r="E64" i="24"/>
  <c r="F64" i="24"/>
  <c r="G64" i="24"/>
  <c r="H64" i="24"/>
  <c r="I64" i="24"/>
  <c r="J64" i="24"/>
  <c r="K64" i="24"/>
  <c r="L64" i="24"/>
  <c r="F67" i="24"/>
  <c r="F18" i="24" s="1"/>
  <c r="G67" i="24"/>
  <c r="G18" i="24" s="1"/>
  <c r="H67" i="24"/>
  <c r="H18" i="24" s="1"/>
  <c r="I67" i="24"/>
  <c r="I18" i="24" s="1"/>
  <c r="J67" i="24"/>
  <c r="J18" i="24" s="1"/>
  <c r="K67" i="24"/>
  <c r="K18" i="24" s="1"/>
  <c r="L67" i="24"/>
  <c r="L18" i="24" s="1"/>
  <c r="B68" i="24"/>
  <c r="C68" i="24"/>
  <c r="D68" i="24"/>
  <c r="E68" i="24"/>
  <c r="F68" i="24"/>
  <c r="G68" i="24"/>
  <c r="H68" i="24"/>
  <c r="I68" i="24"/>
  <c r="J68" i="24"/>
  <c r="K68" i="24"/>
  <c r="L68" i="24"/>
  <c r="B71" i="24"/>
  <c r="A93" i="24"/>
  <c r="A94" i="24"/>
  <c r="A95" i="24"/>
  <c r="A96" i="24"/>
  <c r="A97" i="24"/>
  <c r="A98" i="24"/>
  <c r="A99" i="24"/>
  <c r="A100" i="24"/>
  <c r="A101" i="24"/>
  <c r="B39" i="24" l="1"/>
  <c r="B42" i="24"/>
  <c r="B43" i="24"/>
  <c r="B44" i="24"/>
  <c r="B40" i="24"/>
  <c r="B45" i="24"/>
  <c r="B41" i="24"/>
  <c r="B34" i="24"/>
  <c r="B37" i="24" s="1"/>
  <c r="I44" i="24"/>
  <c r="I39" i="24"/>
  <c r="I40" i="24"/>
  <c r="I42" i="24"/>
  <c r="I43" i="24"/>
  <c r="I41" i="24"/>
  <c r="I45" i="24"/>
  <c r="I34" i="24"/>
  <c r="I37" i="24" s="1"/>
  <c r="H44" i="24"/>
  <c r="H40" i="24"/>
  <c r="H42" i="24"/>
  <c r="H43" i="24"/>
  <c r="H39" i="24"/>
  <c r="H45" i="24"/>
  <c r="H41" i="24"/>
  <c r="H34" i="24"/>
  <c r="H37" i="24" s="1"/>
  <c r="G44" i="24"/>
  <c r="G43" i="24"/>
  <c r="G41" i="24"/>
  <c r="G40" i="24"/>
  <c r="G39" i="24"/>
  <c r="G45" i="24"/>
  <c r="G42" i="24"/>
  <c r="G34" i="24"/>
  <c r="G37" i="24" s="1"/>
  <c r="F44" i="24"/>
  <c r="F39" i="24"/>
  <c r="F45" i="24"/>
  <c r="F43" i="24"/>
  <c r="F41" i="24"/>
  <c r="F42" i="24"/>
  <c r="F40" i="24"/>
  <c r="F34" i="24"/>
  <c r="F37" i="24" s="1"/>
  <c r="J44" i="24"/>
  <c r="J42" i="24"/>
  <c r="J40" i="24"/>
  <c r="J45" i="24"/>
  <c r="J39" i="24"/>
  <c r="J41" i="24"/>
  <c r="J43" i="24"/>
  <c r="J34" i="24"/>
  <c r="J37" i="24" s="1"/>
  <c r="E44" i="24"/>
  <c r="E40" i="24"/>
  <c r="E43" i="24"/>
  <c r="E39" i="24"/>
  <c r="E42" i="24"/>
  <c r="E45" i="24"/>
  <c r="E41" i="24"/>
  <c r="E34" i="24"/>
  <c r="E37" i="24" s="1"/>
  <c r="L44" i="24"/>
  <c r="L41" i="24"/>
  <c r="L43" i="24"/>
  <c r="L45" i="24"/>
  <c r="L40" i="24"/>
  <c r="L42" i="24"/>
  <c r="L39" i="24"/>
  <c r="L34" i="24"/>
  <c r="L37" i="24" s="1"/>
  <c r="D39" i="24"/>
  <c r="D41" i="24"/>
  <c r="D40" i="24"/>
  <c r="D44" i="24"/>
  <c r="D43" i="24"/>
  <c r="D42" i="24"/>
  <c r="D45" i="24"/>
  <c r="D34" i="24"/>
  <c r="D37" i="24" s="1"/>
  <c r="K44" i="24"/>
  <c r="K41" i="24"/>
  <c r="K39" i="24"/>
  <c r="K42" i="24"/>
  <c r="K40" i="24"/>
  <c r="K43" i="24"/>
  <c r="K45" i="24"/>
  <c r="K34" i="24"/>
  <c r="K37" i="24" s="1"/>
  <c r="C41" i="24"/>
  <c r="C42" i="24"/>
  <c r="C44" i="24"/>
  <c r="C40" i="24"/>
  <c r="C45" i="24"/>
  <c r="C39" i="24"/>
  <c r="C43" i="24"/>
  <c r="C34" i="24"/>
  <c r="C37" i="24" s="1"/>
  <c r="C21" i="24"/>
  <c r="C22" i="24" s="1"/>
  <c r="C27" i="24" s="1"/>
  <c r="C48" i="24"/>
  <c r="D30" i="24"/>
  <c r="J48" i="24"/>
  <c r="C30" i="24"/>
  <c r="B30" i="24"/>
  <c r="G24" i="24"/>
  <c r="F30" i="24"/>
  <c r="L21" i="24"/>
  <c r="L22" i="24" s="1"/>
  <c r="L26" i="24" s="1"/>
  <c r="J24" i="24"/>
  <c r="L47" i="24"/>
  <c r="F48" i="24"/>
  <c r="K48" i="24"/>
  <c r="I48" i="24"/>
  <c r="L48" i="24"/>
  <c r="D48" i="24"/>
  <c r="C47" i="24"/>
  <c r="I24" i="24"/>
  <c r="D65" i="24"/>
  <c r="H24" i="24"/>
  <c r="B23" i="24"/>
  <c r="I21" i="24"/>
  <c r="I25" i="24" s="1"/>
  <c r="L24" i="24"/>
  <c r="H48" i="24"/>
  <c r="K21" i="24"/>
  <c r="K22" i="24" s="1"/>
  <c r="K26" i="24" s="1"/>
  <c r="E48" i="24"/>
  <c r="D21" i="24"/>
  <c r="D22" i="24" s="1"/>
  <c r="H23" i="24"/>
  <c r="G23" i="24"/>
  <c r="E21" i="24"/>
  <c r="E23" i="24"/>
  <c r="B48" i="24"/>
  <c r="L23" i="24"/>
  <c r="D23" i="24"/>
  <c r="F23" i="24"/>
  <c r="K23" i="24"/>
  <c r="C23" i="24"/>
  <c r="C25" i="24" s="1"/>
  <c r="J23" i="24"/>
  <c r="F65" i="24"/>
  <c r="G65" i="24"/>
  <c r="B65" i="24"/>
  <c r="J21" i="24"/>
  <c r="D67" i="24"/>
  <c r="D18" i="24" s="1"/>
  <c r="K65" i="24"/>
  <c r="C65" i="24"/>
  <c r="H21" i="24"/>
  <c r="E65" i="24"/>
  <c r="C67" i="24"/>
  <c r="C18" i="24" s="1"/>
  <c r="I65" i="24"/>
  <c r="F21" i="24"/>
  <c r="J65" i="24"/>
  <c r="G48" i="24"/>
  <c r="G21" i="24"/>
  <c r="H65" i="24"/>
  <c r="B67" i="24"/>
  <c r="B18" i="24" s="1"/>
  <c r="E67" i="24"/>
  <c r="E18" i="24" s="1"/>
  <c r="L65" i="24"/>
  <c r="L25" i="24" l="1"/>
  <c r="L27" i="24" s="1"/>
  <c r="I22" i="24"/>
  <c r="I26" i="24" s="1"/>
  <c r="I27" i="24" s="1"/>
  <c r="K25" i="24"/>
  <c r="K27" i="24" s="1"/>
  <c r="E25" i="24"/>
  <c r="E22" i="24"/>
  <c r="E27" i="24" s="1"/>
  <c r="D25" i="24"/>
  <c r="D27" i="24" s="1"/>
  <c r="G22" i="24"/>
  <c r="G25" i="24"/>
  <c r="J22" i="24"/>
  <c r="J26" i="24" s="1"/>
  <c r="J25" i="24"/>
  <c r="B22" i="24"/>
  <c r="B27" i="24" s="1"/>
  <c r="B25" i="24"/>
  <c r="F25" i="24"/>
  <c r="F22" i="24"/>
  <c r="H25" i="24"/>
  <c r="H22" i="24"/>
  <c r="L28" i="24" l="1"/>
  <c r="J27" i="24"/>
  <c r="J28" i="24"/>
  <c r="C28" i="24"/>
  <c r="D28" i="24"/>
  <c r="E28" i="24"/>
  <c r="F28" i="24"/>
  <c r="K28" i="24"/>
  <c r="H27" i="24"/>
  <c r="B28" i="24"/>
  <c r="H28" i="24"/>
  <c r="I28" i="24"/>
  <c r="G28" i="24"/>
  <c r="F27" i="24"/>
  <c r="G27" i="24"/>
  <c r="D5" i="7"/>
  <c r="E5" i="7" s="1"/>
  <c r="A5" i="7"/>
  <c r="E3" i="7"/>
  <c r="E7" i="7"/>
  <c r="E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michael.fleetwood</author>
    <author>Mike</author>
    <author>Home</author>
  </authors>
  <commentList>
    <comment ref="C1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michael.fleetwood:</t>
        </r>
        <r>
          <rPr>
            <sz val="8"/>
            <color indexed="81"/>
            <rFont val="Tahoma"/>
            <family val="2"/>
          </rPr>
          <t xml:space="preserve">
To be determined
</t>
        </r>
      </text>
    </comment>
    <comment ref="A18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michael.fleetwood:</t>
        </r>
        <r>
          <rPr>
            <sz val="8"/>
            <color indexed="81"/>
            <rFont val="Tahoma"/>
            <family val="2"/>
          </rPr>
          <t xml:space="preserve">
Used the standard CVW Training Readiness profile
</t>
        </r>
      </text>
    </comment>
    <comment ref="A26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Mike Fleetwood:</t>
        </r>
        <r>
          <rPr>
            <sz val="9"/>
            <color indexed="81"/>
            <rFont val="Tahoma"/>
            <family val="2"/>
          </rPr>
          <t xml:space="preserve">
Depicts the Simulator requirement to maintain the ATR at the funded % of T&amp;R Levels.
Positive value indicates simulator flying only.  Negative value indicates that portion of Training Hour Standard which could be accomplished in a simulator.
Need the Sim Fidelity % from CNAP N40</t>
        </r>
      </text>
    </comment>
    <comment ref="A49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michael.fleetwood:</t>
        </r>
        <r>
          <rPr>
            <sz val="8"/>
            <color indexed="81"/>
            <rFont val="Tahoma"/>
            <family val="2"/>
          </rPr>
          <t xml:space="preserve">
Pulled these numbers from the Draft T&amp;R.  Use standard formuea to derive monthly manpower requirements.  These numbers may be adjusted as required.</t>
        </r>
      </text>
    </comment>
    <comment ref="A64" authorId="2" shapeId="0" xr:uid="{00000000-0006-0000-0200-000005000000}">
      <text>
        <r>
          <rPr>
            <sz val="8"/>
            <color indexed="81"/>
            <rFont val="Tahoma"/>
            <family val="2"/>
          </rPr>
          <t>1 Standard Deviation based on performance Standard</t>
        </r>
      </text>
    </comment>
    <comment ref="A65" authorId="2" shapeId="0" xr:uid="{00000000-0006-0000-0200-000006000000}">
      <text>
        <r>
          <rPr>
            <sz val="8"/>
            <color indexed="81"/>
            <rFont val="Tahoma"/>
            <family val="2"/>
          </rPr>
          <t>.5 Standard Deviation based on performance Standard</t>
        </r>
      </text>
    </comment>
    <comment ref="B66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michael.fleetwood:</t>
        </r>
        <r>
          <rPr>
            <sz val="9"/>
            <color indexed="81"/>
            <rFont val="Tahoma"/>
            <family val="2"/>
          </rPr>
          <t xml:space="preserve">
This line is modifyable through negotiations with TYCOM/Current Readiness.</t>
        </r>
      </text>
    </comment>
    <comment ref="B69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michael.fleetwood:</t>
        </r>
        <r>
          <rPr>
            <sz val="9"/>
            <color indexed="81"/>
            <rFont val="Tahoma"/>
            <family val="2"/>
          </rPr>
          <t xml:space="preserve">
This line drives Aircrew Manning and should remain as is.</t>
        </r>
      </text>
    </comment>
    <comment ref="A73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michael.fleetwood:</t>
        </r>
        <r>
          <rPr>
            <sz val="8"/>
            <color indexed="81"/>
            <rFont val="Tahoma"/>
            <family val="2"/>
          </rPr>
          <t xml:space="preserve">
Numbers pulled from Draft T&amp;R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michael.fleetwood</author>
    <author>Mike</author>
    <author>Home</author>
  </authors>
  <commentList>
    <comment ref="C11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michael.fleetwood:</t>
        </r>
        <r>
          <rPr>
            <sz val="8"/>
            <color indexed="81"/>
            <rFont val="Tahoma"/>
            <family val="2"/>
          </rPr>
          <t xml:space="preserve">
To be determined
</t>
        </r>
      </text>
    </comment>
    <comment ref="A18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michael.fleetwood:</t>
        </r>
        <r>
          <rPr>
            <sz val="8"/>
            <color indexed="81"/>
            <rFont val="Tahoma"/>
            <family val="2"/>
          </rPr>
          <t xml:space="preserve">
Used the standard CVW Training Readiness profile
</t>
        </r>
      </text>
    </comment>
    <comment ref="A26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Mike Fleetwood:</t>
        </r>
        <r>
          <rPr>
            <sz val="9"/>
            <color indexed="81"/>
            <rFont val="Tahoma"/>
            <family val="2"/>
          </rPr>
          <t xml:space="preserve">
Depicts the Simulator requirement to maintain the ATR at the funded % of T&amp;R Levels.
Positive value indicates simulator flying only.  Negative value indicates that portion of Training Hour Standard which could be accomplished in a simulator.
Need the Sim Fidelity % from CNAP N40</t>
        </r>
      </text>
    </comment>
    <comment ref="A3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michael.fleetwood:</t>
        </r>
        <r>
          <rPr>
            <sz val="8"/>
            <color indexed="81"/>
            <rFont val="Tahoma"/>
            <family val="2"/>
          </rPr>
          <t xml:space="preserve">
Used the standard RFT/RBA calculus to find the Flightline and RFT/RBA requirements.</t>
        </r>
      </text>
    </comment>
    <comment ref="A49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michael.fleetwood:</t>
        </r>
        <r>
          <rPr>
            <sz val="8"/>
            <color indexed="81"/>
            <rFont val="Tahoma"/>
            <family val="2"/>
          </rPr>
          <t xml:space="preserve">
Pulled these numbers from the Draft T&amp;R.  Use standard formuea to derive monthly manpower requirements.  These numbers may be adjusted as required.</t>
        </r>
      </text>
    </comment>
    <comment ref="A64" authorId="2" shapeId="0" xr:uid="{00000000-0006-0000-0300-000006000000}">
      <text>
        <r>
          <rPr>
            <sz val="8"/>
            <color indexed="81"/>
            <rFont val="Tahoma"/>
            <family val="2"/>
          </rPr>
          <t>1 Standard Deviation based on performance Standard</t>
        </r>
      </text>
    </comment>
    <comment ref="A65" authorId="2" shapeId="0" xr:uid="{00000000-0006-0000-0300-000007000000}">
      <text>
        <r>
          <rPr>
            <sz val="8"/>
            <color indexed="81"/>
            <rFont val="Tahoma"/>
            <family val="2"/>
          </rPr>
          <t>.5 Standard Deviation based on performance Standard</t>
        </r>
      </text>
    </comment>
    <comment ref="B66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michael.fleetwood:</t>
        </r>
        <r>
          <rPr>
            <sz val="9"/>
            <color indexed="81"/>
            <rFont val="Tahoma"/>
            <family val="2"/>
          </rPr>
          <t xml:space="preserve">
This line is modifyable through negotiations with TYCOM/Current Readiness.</t>
        </r>
      </text>
    </comment>
    <comment ref="B69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michael.fleetwood:</t>
        </r>
        <r>
          <rPr>
            <sz val="9"/>
            <color indexed="81"/>
            <rFont val="Tahoma"/>
            <family val="2"/>
          </rPr>
          <t xml:space="preserve">
This line drives Aircrew Manning and should remain as is.</t>
        </r>
      </text>
    </comment>
    <comment ref="A73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michael.fleetwood:</t>
        </r>
        <r>
          <rPr>
            <sz val="8"/>
            <color indexed="81"/>
            <rFont val="Tahoma"/>
            <family val="2"/>
          </rPr>
          <t xml:space="preserve">
Numbers pulled from Draft T&amp;R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Fleetwood, Michael T CTR  COMNAVAIRLANT, NC007</author>
  </authors>
  <commentList>
    <comment ref="L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Fleetwood, Michael T CTR  COMNAVAIRLANT, NC007:</t>
        </r>
        <r>
          <rPr>
            <sz val="9"/>
            <color indexed="81"/>
            <rFont val="Tahoma"/>
            <family val="2"/>
          </rPr>
          <t xml:space="preserve">
System which was embeded into RBA.  Needs to be broken out.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Fleetwood, Michael T CTR  COMNAVAIRLANT, NC007</author>
  </authors>
  <commentList>
    <comment ref="L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Fleetwood, Michael T CTR  COMNAVAIRLANT, NC007:</t>
        </r>
        <r>
          <rPr>
            <sz val="9"/>
            <color indexed="81"/>
            <rFont val="Tahoma"/>
            <family val="2"/>
          </rPr>
          <t xml:space="preserve">
System which was embeded into RBA.  Needs to be broken out.</t>
        </r>
      </text>
    </comment>
  </commentList>
</comments>
</file>

<file path=xl/sharedStrings.xml><?xml version="1.0" encoding="utf-8"?>
<sst xmlns="http://schemas.openxmlformats.org/spreadsheetml/2006/main" count="441" uniqueCount="142">
  <si>
    <t>Standard Name</t>
  </si>
  <si>
    <t>ID</t>
  </si>
  <si>
    <t>Rev</t>
  </si>
  <si>
    <t>AMFOM</t>
  </si>
  <si>
    <t>Readiness Standards HSC MQ-8C AVDET SUW - 1 Plane - 4 Crew</t>
  </si>
  <si>
    <t>Deleted</t>
  </si>
  <si>
    <t>Readiness Standards  HSC MQ-8C AVDET MIW - 1 Plane - 4 Crew</t>
  </si>
  <si>
    <t>Note:  'NEW' Standards are less than 90 Days old</t>
  </si>
  <si>
    <t>Date</t>
  </si>
  <si>
    <t>Standard</t>
  </si>
  <si>
    <t>Change Summary</t>
  </si>
  <si>
    <t>MQ-8C - (All)</t>
  </si>
  <si>
    <t>New Standard</t>
  </si>
  <si>
    <t>Readiness Standards  HSC MQ-8C SUW DET - 1 Plane - 2 Crew</t>
  </si>
  <si>
    <t>Rev:</t>
  </si>
  <si>
    <t>ID:</t>
  </si>
  <si>
    <t>PAA =</t>
  </si>
  <si>
    <t>Inventory</t>
  </si>
  <si>
    <t>Crew/Seat Ratio=</t>
  </si>
  <si>
    <t>Crews=</t>
  </si>
  <si>
    <t>ESL=</t>
  </si>
  <si>
    <t>100% T&amp;R Matrix=</t>
  </si>
  <si>
    <t>100% Training Hours=</t>
  </si>
  <si>
    <t>100% Training Sorties=</t>
  </si>
  <si>
    <t>Ashore Support Hours=</t>
  </si>
  <si>
    <t>Tactical Hard Deck =</t>
  </si>
  <si>
    <t>Afloat Support Hours=</t>
  </si>
  <si>
    <t>Sim Fidelity %=</t>
  </si>
  <si>
    <t>Simulator Support Hours=</t>
  </si>
  <si>
    <t>Per Crew</t>
  </si>
  <si>
    <t>FRTP Mode</t>
  </si>
  <si>
    <t>Maintenance</t>
  </si>
  <si>
    <t>Basic</t>
  </si>
  <si>
    <t>Integrated</t>
  </si>
  <si>
    <t>Deploy</t>
  </si>
  <si>
    <t>R+Month</t>
  </si>
  <si>
    <t>R+1</t>
  </si>
  <si>
    <t>R+2</t>
  </si>
  <si>
    <t>R+3</t>
  </si>
  <si>
    <t>R+4</t>
  </si>
  <si>
    <t>R+5</t>
  </si>
  <si>
    <t>D+1</t>
  </si>
  <si>
    <t>D+2</t>
  </si>
  <si>
    <t>D+3</t>
  </si>
  <si>
    <t>D+4</t>
  </si>
  <si>
    <t>D+5</t>
  </si>
  <si>
    <t>D+6</t>
  </si>
  <si>
    <t>FRTP</t>
  </si>
  <si>
    <t>Mission</t>
  </si>
  <si>
    <t>ULT</t>
  </si>
  <si>
    <t>HARP</t>
  </si>
  <si>
    <t>ISATT</t>
  </si>
  <si>
    <t>SWATT</t>
  </si>
  <si>
    <t>Deployment</t>
  </si>
  <si>
    <t>Training Resource Elements</t>
  </si>
  <si>
    <t>Average Training Readiness (ATR) Standard</t>
  </si>
  <si>
    <t>% of T&amp;R Matrix</t>
  </si>
  <si>
    <t>Flying Hours</t>
  </si>
  <si>
    <t>Training Sortie Standard</t>
  </si>
  <si>
    <t>Training Hours Standard</t>
  </si>
  <si>
    <t>Ashore Support Hours Total</t>
  </si>
  <si>
    <t>Afloat Support Hours Total</t>
  </si>
  <si>
    <t>Total Hours Standard</t>
  </si>
  <si>
    <t>Simulator Contribution</t>
  </si>
  <si>
    <t>Allocated Flight Hours</t>
  </si>
  <si>
    <t>Flight Hour Execution Standard (90 Day Avg)</t>
  </si>
  <si>
    <t>Simulator Hours</t>
  </si>
  <si>
    <t>Simulator Support Hours</t>
  </si>
  <si>
    <t>Aircraft Standards</t>
  </si>
  <si>
    <t>Flightline %</t>
  </si>
  <si>
    <t>MC %</t>
  </si>
  <si>
    <t>FMC %</t>
  </si>
  <si>
    <t>Flightline Standard</t>
  </si>
  <si>
    <t>MC Standard</t>
  </si>
  <si>
    <t>FMC Standard</t>
  </si>
  <si>
    <t>Integrated Mission Systems</t>
  </si>
  <si>
    <t>Ready MQ-8C Special Payload Collection/Full Motion Video Retransmission (C)</t>
  </si>
  <si>
    <t>Ready MQ-8C MIW Mission Systems (D)</t>
  </si>
  <si>
    <t>Ready MQ-8C SUW Mission Systems (E)</t>
  </si>
  <si>
    <t>Ready MQ-8C Cold Weather Mission Systems (F)</t>
  </si>
  <si>
    <t>Ready MQ-8C Weapons Support Mission Systems (G)</t>
  </si>
  <si>
    <t>Ready MQ-8C Shipboard Mission Systems (K)</t>
  </si>
  <si>
    <t>Ready MQ-8C IMC Flight Mission Systems (L)</t>
  </si>
  <si>
    <t>Non-Integrated Mission Systems</t>
  </si>
  <si>
    <t>Assigned FLIR - AN/AAQ-22</t>
  </si>
  <si>
    <t>Ready FLIR - AN/AAQ-22</t>
  </si>
  <si>
    <t>Aircrew Manning and Crews</t>
  </si>
  <si>
    <t>driver</t>
  </si>
  <si>
    <t>exception</t>
  </si>
  <si>
    <t>Range of Performance Values - Do Not Modify - (Use these values to establish performance cutoffs)</t>
  </si>
  <si>
    <t>UCL (Red Above)</t>
  </si>
  <si>
    <t>UCL (Yellow Above)</t>
  </si>
  <si>
    <t>Training Readiness Standard</t>
  </si>
  <si>
    <t>LCL (Yellow Below)</t>
  </si>
  <si>
    <t>LCL (Red Below)</t>
  </si>
  <si>
    <t>Ef Crew Expectation Profile</t>
  </si>
  <si>
    <t>U/L CL Max:</t>
  </si>
  <si>
    <t>U/L CL Min:</t>
  </si>
  <si>
    <t>CBM Matrix Ef Values - Do Not Modify</t>
  </si>
  <si>
    <t>Trained Manpower and Crews</t>
  </si>
  <si>
    <t>AVO Assigned</t>
  </si>
  <si>
    <t>MPO Assigned</t>
  </si>
  <si>
    <t>≥ Level 3 AVO</t>
  </si>
  <si>
    <t>≥ Level 3 MPO</t>
  </si>
  <si>
    <t>≥ Level 2 AVO</t>
  </si>
  <si>
    <t>≥ Level 2 MPO</t>
  </si>
  <si>
    <t>≥ Level 1 AVO</t>
  </si>
  <si>
    <t>≥ Level 1 MPO</t>
  </si>
  <si>
    <t># Skilled Crews</t>
  </si>
  <si>
    <t>Monthly Variable Hours Assignments</t>
  </si>
  <si>
    <t>Simulator Replacement Month</t>
  </si>
  <si>
    <t>X</t>
  </si>
  <si>
    <t>Afloat Support Hours Assignment</t>
  </si>
  <si>
    <t>DRRS-N E-Pillar Break Points</t>
  </si>
  <si>
    <t>Green</t>
  </si>
  <si>
    <t>Yellow</t>
  </si>
  <si>
    <t>Red</t>
  </si>
  <si>
    <t>Top</t>
  </si>
  <si>
    <t>In Reporting</t>
  </si>
  <si>
    <t>Mission Capable Aircraft (MC)</t>
  </si>
  <si>
    <t>NA</t>
  </si>
  <si>
    <t>FMC and Mission System Utilization Rates</t>
  </si>
  <si>
    <t>MQ-8 1PAA SUW v221025</t>
  </si>
  <si>
    <t>FMC % of MC</t>
  </si>
  <si>
    <t>Readiness Standards  HSC MQ-8C MIW DET - 1 Plane - 2 Crew</t>
  </si>
  <si>
    <t>MQ-8 1PAA MIW v221025</t>
  </si>
  <si>
    <t>Mission Systems</t>
  </si>
  <si>
    <t>Navy MQ-8C TMS MIW MET to Mission System Map</t>
  </si>
  <si>
    <t>MISSION ESSENTIAL TASKS</t>
  </si>
  <si>
    <t>NTA 1.1.2.3.3</t>
  </si>
  <si>
    <t>Conduct Flight Operations</t>
  </si>
  <si>
    <t>NTA 1.3.1.1</t>
  </si>
  <si>
    <t>Conduct Mine Hunting (Note 3)</t>
  </si>
  <si>
    <t>NTA 1.4.6</t>
  </si>
  <si>
    <t>Conduct Maritime Interception</t>
  </si>
  <si>
    <t>NTA 2.2.1</t>
  </si>
  <si>
    <t>Collect Target Information</t>
  </si>
  <si>
    <t>NTA 3.2.8.2</t>
  </si>
  <si>
    <t>Illuminate/Designate Targets</t>
  </si>
  <si>
    <t>Navy MQ-8C TMS SUW MET to Mission System Map</t>
  </si>
  <si>
    <t>MQ-8C Mission System Utilization per Flight Task</t>
  </si>
  <si>
    <t>Tab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</si>
</sst>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d\-mmm\-yy;@"/>
    <numFmt numFmtId="165" formatCode="0.0"/>
    <numFmt numFmtId="166" formatCode="_(* #,##0.0_);_(* \(#,##0.0\);_(* &quot;-&quot;??_);_(@_)"/>
    <numFmt numFmtId="167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b/>
      <i/>
      <sz val="11"/>
      <color rgb="FF00CC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8"/>
      <color indexed="55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u/>
      <sz val="10"/>
      <color theme="10"/>
      <name val="Calibri"/>
      <family val="2"/>
    </font>
    <font>
      <u/>
      <sz val="9"/>
      <color theme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0"/>
      <color rgb="FF0A0101"/>
      <name val="Calibri"/>
      <family val="2"/>
      <scheme val="minor"/>
    </font>
    <font>
      <sz val="8"/>
      <name val="Calibri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979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4" fillId="0" borderId="0"/>
    <xf numFmtId="0" fontId="1" fillId="2" borderId="1">
      <alignment horizontal="center" textRotation="90"/>
    </xf>
    <xf numFmtId="0" fontId="1" fillId="0" borderId="0">
      <alignment textRotation="90"/>
    </xf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311">
    <xf numFmtId="0" fontId="0" fillId="0" borderId="0" xfId="0"/>
    <xf numFmtId="0" fontId="8" fillId="0" borderId="0" xfId="8" applyFont="1" applyBorder="1" applyAlignment="1">
      <alignment horizontal="left"/>
    </xf>
    <xf numFmtId="0" fontId="8" fillId="0" borderId="0" xfId="8" applyFont="1" applyBorder="1"/>
    <xf numFmtId="0" fontId="8" fillId="0" borderId="0" xfId="8" applyFont="1"/>
    <xf numFmtId="0" fontId="8" fillId="0" borderId="1" xfId="8" applyFont="1" applyBorder="1"/>
    <xf numFmtId="0" fontId="8" fillId="0" borderId="1" xfId="8" applyFont="1" applyFill="1" applyBorder="1"/>
    <xf numFmtId="0" fontId="8" fillId="0" borderId="2" xfId="8" applyFont="1" applyFill="1" applyBorder="1"/>
    <xf numFmtId="0" fontId="8" fillId="0" borderId="0" xfId="8" applyFont="1" applyFill="1" applyBorder="1"/>
    <xf numFmtId="0" fontId="8" fillId="6" borderId="3" xfId="8" applyFont="1" applyFill="1" applyBorder="1" applyAlignment="1">
      <alignment horizontal="center"/>
    </xf>
    <xf numFmtId="0" fontId="9" fillId="0" borderId="0" xfId="5" applyFont="1" applyFill="1"/>
    <xf numFmtId="0" fontId="8" fillId="0" borderId="1" xfId="8" applyFont="1" applyBorder="1" applyAlignment="1">
      <alignment horizontal="left"/>
    </xf>
    <xf numFmtId="0" fontId="8" fillId="6" borderId="4" xfId="8" applyFont="1" applyFill="1" applyBorder="1" applyAlignment="1">
      <alignment horizontal="right"/>
    </xf>
    <xf numFmtId="0" fontId="8" fillId="6" borderId="5" xfId="8" applyFont="1" applyFill="1" applyBorder="1" applyAlignment="1">
      <alignment horizontal="center"/>
    </xf>
    <xf numFmtId="0" fontId="8" fillId="6" borderId="6" xfId="8" applyFont="1" applyFill="1" applyBorder="1" applyAlignment="1">
      <alignment horizontal="center"/>
    </xf>
    <xf numFmtId="0" fontId="8" fillId="6" borderId="7" xfId="8" applyFont="1" applyFill="1" applyBorder="1" applyAlignment="1">
      <alignment horizontal="right"/>
    </xf>
    <xf numFmtId="0" fontId="8" fillId="6" borderId="8" xfId="8" applyFont="1" applyFill="1" applyBorder="1" applyAlignment="1">
      <alignment horizontal="center"/>
    </xf>
    <xf numFmtId="0" fontId="8" fillId="0" borderId="0" xfId="8" applyFont="1" applyFill="1" applyBorder="1" applyAlignment="1">
      <alignment horizontal="center"/>
    </xf>
    <xf numFmtId="9" fontId="9" fillId="0" borderId="0" xfId="5" applyNumberFormat="1" applyFont="1" applyFill="1"/>
    <xf numFmtId="0" fontId="12" fillId="0" borderId="0" xfId="5" applyFont="1"/>
    <xf numFmtId="164" fontId="12" fillId="0" borderId="12" xfId="5" applyNumberFormat="1" applyFont="1" applyFill="1" applyBorder="1" applyAlignment="1">
      <alignment horizontal="center"/>
    </xf>
    <xf numFmtId="0" fontId="12" fillId="0" borderId="7" xfId="5" applyFont="1" applyFill="1" applyBorder="1"/>
    <xf numFmtId="164" fontId="12" fillId="0" borderId="3" xfId="5" applyNumberFormat="1" applyFont="1" applyFill="1" applyBorder="1" applyAlignment="1">
      <alignment horizontal="center"/>
    </xf>
    <xf numFmtId="0" fontId="13" fillId="0" borderId="11" xfId="4" applyFill="1" applyBorder="1" applyAlignment="1" applyProtection="1"/>
    <xf numFmtId="0" fontId="14" fillId="0" borderId="0" xfId="5" applyFont="1"/>
    <xf numFmtId="0" fontId="15" fillId="0" borderId="0" xfId="0" applyFont="1"/>
    <xf numFmtId="0" fontId="16" fillId="0" borderId="1" xfId="5" applyFont="1" applyBorder="1" applyAlignment="1">
      <alignment horizontal="center" vertical="center"/>
    </xf>
    <xf numFmtId="0" fontId="16" fillId="0" borderId="1" xfId="5" applyFont="1" applyBorder="1" applyAlignment="1">
      <alignment horizontal="center"/>
    </xf>
    <xf numFmtId="0" fontId="17" fillId="3" borderId="0" xfId="5" applyFont="1" applyFill="1"/>
    <xf numFmtId="0" fontId="17" fillId="0" borderId="0" xfId="5" applyFont="1" applyFill="1"/>
    <xf numFmtId="0" fontId="18" fillId="0" borderId="0" xfId="5" applyFont="1" applyFill="1" applyAlignment="1">
      <alignment horizontal="right"/>
    </xf>
    <xf numFmtId="0" fontId="8" fillId="3" borderId="0" xfId="5" applyFont="1" applyFill="1"/>
    <xf numFmtId="0" fontId="8" fillId="0" borderId="1" xfId="5" applyFont="1" applyFill="1" applyBorder="1" applyAlignment="1">
      <alignment horizontal="right"/>
    </xf>
    <xf numFmtId="0" fontId="8" fillId="0" borderId="1" xfId="5" applyFont="1" applyFill="1" applyBorder="1" applyAlignment="1">
      <alignment horizontal="center" textRotation="90"/>
    </xf>
    <xf numFmtId="0" fontId="8" fillId="3" borderId="0" xfId="5" applyFont="1" applyFill="1" applyAlignment="1">
      <alignment horizontal="center"/>
    </xf>
    <xf numFmtId="0" fontId="8" fillId="0" borderId="1" xfId="5" applyFont="1" applyFill="1" applyBorder="1" applyAlignment="1">
      <alignment horizontal="center"/>
    </xf>
    <xf numFmtId="165" fontId="8" fillId="0" borderId="0" xfId="5" applyNumberFormat="1" applyFont="1" applyFill="1" applyBorder="1" applyAlignment="1">
      <alignment horizontal="center"/>
    </xf>
    <xf numFmtId="0" fontId="9" fillId="3" borderId="0" xfId="5" applyFont="1" applyFill="1"/>
    <xf numFmtId="0" fontId="9" fillId="3" borderId="0" xfId="5" applyFont="1" applyFill="1" applyBorder="1"/>
    <xf numFmtId="0" fontId="9" fillId="0" borderId="0" xfId="5" applyFont="1"/>
    <xf numFmtId="9" fontId="8" fillId="0" borderId="1" xfId="13" applyFont="1" applyFill="1" applyBorder="1" applyAlignment="1">
      <alignment horizontal="center"/>
    </xf>
    <xf numFmtId="166" fontId="8" fillId="3" borderId="1" xfId="1" applyNumberFormat="1" applyFont="1" applyFill="1" applyBorder="1" applyAlignment="1">
      <alignment horizontal="center"/>
    </xf>
    <xf numFmtId="0" fontId="9" fillId="0" borderId="0" xfId="5" applyFont="1" applyBorder="1"/>
    <xf numFmtId="0" fontId="8" fillId="0" borderId="13" xfId="5" applyFont="1" applyFill="1" applyBorder="1"/>
    <xf numFmtId="9" fontId="8" fillId="0" borderId="14" xfId="13" applyFont="1" applyFill="1" applyBorder="1" applyAlignment="1">
      <alignment horizontal="center"/>
    </xf>
    <xf numFmtId="9" fontId="8" fillId="0" borderId="15" xfId="13" applyFont="1" applyFill="1" applyBorder="1" applyAlignment="1">
      <alignment horizontal="center"/>
    </xf>
    <xf numFmtId="0" fontId="19" fillId="3" borderId="0" xfId="5" applyFont="1" applyFill="1"/>
    <xf numFmtId="0" fontId="19" fillId="0" borderId="0" xfId="5" applyFont="1" applyBorder="1"/>
    <xf numFmtId="0" fontId="19" fillId="3" borderId="0" xfId="5" applyFont="1" applyFill="1" applyBorder="1"/>
    <xf numFmtId="0" fontId="19" fillId="0" borderId="0" xfId="5" applyFont="1"/>
    <xf numFmtId="9" fontId="8" fillId="0" borderId="17" xfId="13" applyFont="1" applyFill="1" applyBorder="1" applyAlignment="1">
      <alignment horizontal="center"/>
    </xf>
    <xf numFmtId="0" fontId="8" fillId="0" borderId="1" xfId="5" applyFont="1" applyFill="1" applyBorder="1"/>
    <xf numFmtId="2" fontId="8" fillId="7" borderId="1" xfId="5" applyNumberFormat="1" applyFont="1" applyFill="1" applyBorder="1" applyAlignment="1">
      <alignment horizontal="center"/>
    </xf>
    <xf numFmtId="2" fontId="20" fillId="7" borderId="13" xfId="5" applyNumberFormat="1" applyFont="1" applyFill="1" applyBorder="1" applyAlignment="1">
      <alignment horizontal="center"/>
    </xf>
    <xf numFmtId="2" fontId="20" fillId="7" borderId="14" xfId="5" applyNumberFormat="1" applyFont="1" applyFill="1" applyBorder="1" applyAlignment="1">
      <alignment horizontal="center"/>
    </xf>
    <xf numFmtId="2" fontId="20" fillId="7" borderId="15" xfId="5" applyNumberFormat="1" applyFont="1" applyFill="1" applyBorder="1" applyAlignment="1">
      <alignment horizontal="center"/>
    </xf>
    <xf numFmtId="2" fontId="20" fillId="7" borderId="18" xfId="5" applyNumberFormat="1" applyFont="1" applyFill="1" applyBorder="1" applyAlignment="1">
      <alignment horizontal="center"/>
    </xf>
    <xf numFmtId="0" fontId="10" fillId="0" borderId="13" xfId="8" applyFont="1" applyFill="1" applyBorder="1"/>
    <xf numFmtId="1" fontId="8" fillId="0" borderId="18" xfId="5" applyNumberFormat="1" applyFont="1" applyFill="1" applyBorder="1" applyAlignment="1">
      <alignment horizontal="center"/>
    </xf>
    <xf numFmtId="0" fontId="20" fillId="0" borderId="1" xfId="5" applyFont="1" applyFill="1" applyBorder="1" applyAlignment="1">
      <alignment horizontal="center"/>
    </xf>
    <xf numFmtId="1" fontId="8" fillId="0" borderId="1" xfId="5" applyNumberFormat="1" applyFont="1" applyFill="1" applyBorder="1" applyAlignment="1">
      <alignment horizontal="center"/>
    </xf>
    <xf numFmtId="0" fontId="8" fillId="3" borderId="0" xfId="5" applyFont="1" applyFill="1" applyBorder="1"/>
    <xf numFmtId="0" fontId="9" fillId="2" borderId="0" xfId="5" applyFont="1" applyFill="1"/>
    <xf numFmtId="0" fontId="8" fillId="0" borderId="0" xfId="5" applyFont="1" applyBorder="1" applyAlignment="1">
      <alignment horizontal="center"/>
    </xf>
    <xf numFmtId="0" fontId="9" fillId="4" borderId="0" xfId="5" applyFont="1" applyFill="1"/>
    <xf numFmtId="0" fontId="8" fillId="0" borderId="0" xfId="5" applyFont="1" applyBorder="1"/>
    <xf numFmtId="0" fontId="9" fillId="3" borderId="0" xfId="5" applyFont="1" applyFill="1" applyAlignment="1">
      <alignment horizontal="center"/>
    </xf>
    <xf numFmtId="0" fontId="9" fillId="0" borderId="0" xfId="5" applyFont="1" applyFill="1" applyBorder="1"/>
    <xf numFmtId="165" fontId="8" fillId="0" borderId="1" xfId="5" applyNumberFormat="1" applyFont="1" applyFill="1" applyBorder="1" applyAlignment="1">
      <alignment horizontal="center"/>
    </xf>
    <xf numFmtId="0" fontId="18" fillId="0" borderId="0" xfId="5" applyFont="1" applyFill="1" applyAlignment="1"/>
    <xf numFmtId="0" fontId="9" fillId="0" borderId="0" xfId="5" applyFont="1" applyFill="1" applyAlignment="1">
      <alignment horizontal="right"/>
    </xf>
    <xf numFmtId="165" fontId="9" fillId="0" borderId="0" xfId="5" applyNumberFormat="1" applyFont="1" applyFill="1"/>
    <xf numFmtId="0" fontId="9" fillId="0" borderId="0" xfId="5" quotePrefix="1" applyFont="1" applyFill="1" applyAlignment="1">
      <alignment horizontal="right"/>
    </xf>
    <xf numFmtId="9" fontId="9" fillId="3" borderId="0" xfId="5" applyNumberFormat="1" applyFont="1" applyFill="1"/>
    <xf numFmtId="165" fontId="8" fillId="0" borderId="14" xfId="1" applyNumberFormat="1" applyFont="1" applyFill="1" applyBorder="1" applyAlignment="1">
      <alignment horizontal="center"/>
    </xf>
    <xf numFmtId="165" fontId="8" fillId="0" borderId="15" xfId="1" applyNumberFormat="1" applyFont="1" applyFill="1" applyBorder="1" applyAlignment="1">
      <alignment horizontal="center"/>
    </xf>
    <xf numFmtId="0" fontId="10" fillId="0" borderId="16" xfId="8" applyFont="1" applyFill="1" applyBorder="1"/>
    <xf numFmtId="0" fontId="21" fillId="0" borderId="13" xfId="8" applyFont="1" applyBorder="1"/>
    <xf numFmtId="0" fontId="21" fillId="0" borderId="2" xfId="8" applyFont="1" applyFill="1" applyBorder="1"/>
    <xf numFmtId="0" fontId="9" fillId="3" borderId="0" xfId="8" applyFont="1" applyFill="1" applyAlignment="1">
      <alignment horizontal="right"/>
    </xf>
    <xf numFmtId="166" fontId="8" fillId="0" borderId="18" xfId="1" applyNumberFormat="1" applyFont="1" applyFill="1" applyBorder="1" applyAlignment="1">
      <alignment horizontal="center"/>
    </xf>
    <xf numFmtId="0" fontId="13" fillId="0" borderId="21" xfId="4" applyFill="1" applyBorder="1" applyAlignment="1" applyProtection="1"/>
    <xf numFmtId="164" fontId="12" fillId="0" borderId="22" xfId="5" applyNumberFormat="1" applyFont="1" applyFill="1" applyBorder="1" applyAlignment="1">
      <alignment horizontal="center"/>
    </xf>
    <xf numFmtId="164" fontId="11" fillId="0" borderId="6" xfId="5" applyNumberFormat="1" applyFont="1" applyBorder="1" applyAlignment="1">
      <alignment horizontal="center"/>
    </xf>
    <xf numFmtId="15" fontId="12" fillId="0" borderId="1" xfId="5" applyNumberFormat="1" applyFont="1" applyBorder="1" applyAlignment="1">
      <alignment horizontal="center" vertical="top"/>
    </xf>
    <xf numFmtId="0" fontId="12" fillId="0" borderId="1" xfId="5" applyFont="1" applyBorder="1" applyAlignment="1">
      <alignment horizontal="left" vertical="top"/>
    </xf>
    <xf numFmtId="0" fontId="21" fillId="6" borderId="11" xfId="8" applyFont="1" applyFill="1" applyBorder="1" applyAlignment="1">
      <alignment horizontal="right"/>
    </xf>
    <xf numFmtId="0" fontId="21" fillId="6" borderId="21" xfId="5" applyFont="1" applyFill="1" applyBorder="1" applyAlignment="1">
      <alignment horizontal="right"/>
    </xf>
    <xf numFmtId="2" fontId="8" fillId="6" borderId="18" xfId="5" applyNumberFormat="1" applyFont="1" applyFill="1" applyBorder="1" applyAlignment="1">
      <alignment horizontal="center"/>
    </xf>
    <xf numFmtId="2" fontId="8" fillId="6" borderId="22" xfId="5" applyNumberFormat="1" applyFont="1" applyFill="1" applyBorder="1" applyAlignment="1">
      <alignment horizontal="center"/>
    </xf>
    <xf numFmtId="0" fontId="21" fillId="6" borderId="11" xfId="5" applyFont="1" applyFill="1" applyBorder="1" applyAlignment="1">
      <alignment horizontal="right"/>
    </xf>
    <xf numFmtId="2" fontId="8" fillId="6" borderId="1" xfId="5" applyNumberFormat="1" applyFont="1" applyFill="1" applyBorder="1" applyAlignment="1">
      <alignment horizontal="center"/>
    </xf>
    <xf numFmtId="2" fontId="8" fillId="6" borderId="12" xfId="5" applyNumberFormat="1" applyFont="1" applyFill="1" applyBorder="1" applyAlignment="1">
      <alignment horizontal="center"/>
    </xf>
    <xf numFmtId="0" fontId="21" fillId="6" borderId="7" xfId="5" applyFont="1" applyFill="1" applyBorder="1" applyAlignment="1">
      <alignment horizontal="right"/>
    </xf>
    <xf numFmtId="0" fontId="9" fillId="6" borderId="4" xfId="5" applyFont="1" applyFill="1" applyBorder="1" applyAlignment="1">
      <alignment horizontal="right"/>
    </xf>
    <xf numFmtId="0" fontId="9" fillId="6" borderId="7" xfId="5" applyFont="1" applyFill="1" applyBorder="1" applyAlignment="1">
      <alignment horizontal="right"/>
    </xf>
    <xf numFmtId="2" fontId="23" fillId="6" borderId="3" xfId="5" applyNumberFormat="1" applyFont="1" applyFill="1" applyBorder="1" applyAlignment="1">
      <alignment horizontal="right"/>
    </xf>
    <xf numFmtId="0" fontId="8" fillId="6" borderId="21" xfId="8" applyFont="1" applyFill="1" applyBorder="1"/>
    <xf numFmtId="1" fontId="20" fillId="6" borderId="22" xfId="8" applyNumberFormat="1" applyFont="1" applyFill="1" applyBorder="1" applyAlignment="1">
      <alignment horizontal="center"/>
    </xf>
    <xf numFmtId="0" fontId="8" fillId="6" borderId="11" xfId="8" applyFont="1" applyFill="1" applyBorder="1"/>
    <xf numFmtId="0" fontId="8" fillId="6" borderId="21" xfId="5" applyFont="1" applyFill="1" applyBorder="1"/>
    <xf numFmtId="0" fontId="8" fillId="6" borderId="22" xfId="5" applyFont="1" applyFill="1" applyBorder="1" applyAlignment="1">
      <alignment horizontal="center"/>
    </xf>
    <xf numFmtId="0" fontId="8" fillId="6" borderId="7" xfId="5" applyFont="1" applyFill="1" applyBorder="1"/>
    <xf numFmtId="0" fontId="8" fillId="6" borderId="3" xfId="5" applyFont="1" applyFill="1" applyBorder="1" applyAlignment="1">
      <alignment horizontal="center"/>
    </xf>
    <xf numFmtId="2" fontId="8" fillId="6" borderId="17" xfId="5" applyNumberFormat="1" applyFont="1" applyFill="1" applyBorder="1" applyAlignment="1">
      <alignment horizontal="center"/>
    </xf>
    <xf numFmtId="2" fontId="8" fillId="6" borderId="23" xfId="5" applyNumberFormat="1" applyFont="1" applyFill="1" applyBorder="1" applyAlignment="1">
      <alignment horizontal="center"/>
    </xf>
    <xf numFmtId="2" fontId="23" fillId="6" borderId="22" xfId="5" applyNumberFormat="1" applyFont="1" applyFill="1" applyBorder="1" applyAlignment="1">
      <alignment horizontal="right"/>
    </xf>
    <xf numFmtId="0" fontId="21" fillId="6" borderId="9" xfId="8" applyFont="1" applyFill="1" applyBorder="1" applyAlignment="1">
      <alignment horizontal="right"/>
    </xf>
    <xf numFmtId="2" fontId="22" fillId="6" borderId="24" xfId="5" applyNumberFormat="1" applyFont="1" applyFill="1" applyBorder="1" applyAlignment="1">
      <alignment horizontal="center"/>
    </xf>
    <xf numFmtId="2" fontId="22" fillId="6" borderId="25" xfId="5" applyNumberFormat="1" applyFont="1" applyFill="1" applyBorder="1" applyAlignment="1">
      <alignment horizontal="center"/>
    </xf>
    <xf numFmtId="0" fontId="21" fillId="0" borderId="13" xfId="5" applyFont="1" applyFill="1" applyBorder="1" applyAlignment="1">
      <alignment horizontal="left" indent="1"/>
    </xf>
    <xf numFmtId="0" fontId="8" fillId="3" borderId="0" xfId="5" applyFont="1" applyFill="1" applyAlignment="1">
      <alignment horizontal="center" vertical="center"/>
    </xf>
    <xf numFmtId="2" fontId="8" fillId="7" borderId="17" xfId="5" applyNumberFormat="1" applyFont="1" applyFill="1" applyBorder="1" applyAlignment="1">
      <alignment horizontal="center"/>
    </xf>
    <xf numFmtId="2" fontId="8" fillId="7" borderId="13" xfId="5" applyNumberFormat="1" applyFont="1" applyFill="1" applyBorder="1" applyAlignment="1">
      <alignment horizontal="center"/>
    </xf>
    <xf numFmtId="2" fontId="8" fillId="7" borderId="14" xfId="5" applyNumberFormat="1" applyFont="1" applyFill="1" applyBorder="1" applyAlignment="1">
      <alignment horizontal="center"/>
    </xf>
    <xf numFmtId="2" fontId="8" fillId="7" borderId="15" xfId="5" applyNumberFormat="1" applyFont="1" applyFill="1" applyBorder="1" applyAlignment="1">
      <alignment horizontal="center"/>
    </xf>
    <xf numFmtId="2" fontId="22" fillId="6" borderId="1" xfId="5" applyNumberFormat="1" applyFont="1" applyFill="1" applyBorder="1" applyAlignment="1">
      <alignment horizontal="center"/>
    </xf>
    <xf numFmtId="2" fontId="22" fillId="6" borderId="12" xfId="5" applyNumberFormat="1" applyFont="1" applyFill="1" applyBorder="1" applyAlignment="1">
      <alignment horizontal="center"/>
    </xf>
    <xf numFmtId="2" fontId="8" fillId="6" borderId="1" xfId="8" applyNumberFormat="1" applyFont="1" applyFill="1" applyBorder="1" applyAlignment="1">
      <alignment horizontal="center"/>
    </xf>
    <xf numFmtId="165" fontId="8" fillId="0" borderId="15" xfId="5" applyNumberFormat="1" applyFont="1" applyFill="1" applyBorder="1" applyAlignment="1">
      <alignment horizontal="center"/>
    </xf>
    <xf numFmtId="0" fontId="12" fillId="0" borderId="1" xfId="5" applyFont="1" applyBorder="1"/>
    <xf numFmtId="0" fontId="10" fillId="6" borderId="4" xfId="6" applyFont="1" applyFill="1" applyBorder="1" applyAlignment="1"/>
    <xf numFmtId="0" fontId="8" fillId="0" borderId="11" xfId="0" applyFont="1" applyFill="1" applyBorder="1"/>
    <xf numFmtId="2" fontId="8" fillId="11" borderId="1" xfId="8" applyNumberFormat="1" applyFont="1" applyFill="1" applyBorder="1" applyAlignment="1">
      <alignment horizontal="center"/>
    </xf>
    <xf numFmtId="2" fontId="8" fillId="12" borderId="1" xfId="8" applyNumberFormat="1" applyFont="1" applyFill="1" applyBorder="1" applyAlignment="1">
      <alignment horizontal="center"/>
    </xf>
    <xf numFmtId="2" fontId="8" fillId="13" borderId="1" xfId="8" applyNumberFormat="1" applyFont="1" applyFill="1" applyBorder="1" applyAlignment="1">
      <alignment horizontal="center"/>
    </xf>
    <xf numFmtId="2" fontId="8" fillId="13" borderId="12" xfId="8" applyNumberFormat="1" applyFont="1" applyFill="1" applyBorder="1" applyAlignment="1">
      <alignment horizontal="center"/>
    </xf>
    <xf numFmtId="0" fontId="8" fillId="0" borderId="7" xfId="0" applyFont="1" applyFill="1" applyBorder="1"/>
    <xf numFmtId="2" fontId="8" fillId="11" borderId="8" xfId="8" applyNumberFormat="1" applyFont="1" applyFill="1" applyBorder="1" applyAlignment="1">
      <alignment horizontal="center"/>
    </xf>
    <xf numFmtId="2" fontId="8" fillId="12" borderId="8" xfId="8" applyNumberFormat="1" applyFont="1" applyFill="1" applyBorder="1" applyAlignment="1">
      <alignment horizontal="center"/>
    </xf>
    <xf numFmtId="2" fontId="8" fillId="13" borderId="8" xfId="8" applyNumberFormat="1" applyFont="1" applyFill="1" applyBorder="1" applyAlignment="1">
      <alignment horizontal="center"/>
    </xf>
    <xf numFmtId="2" fontId="8" fillId="13" borderId="3" xfId="8" applyNumberFormat="1" applyFont="1" applyFill="1" applyBorder="1" applyAlignment="1">
      <alignment horizontal="center"/>
    </xf>
    <xf numFmtId="0" fontId="9" fillId="0" borderId="0" xfId="5" applyFont="1" applyAlignment="1">
      <alignment horizontal="center"/>
    </xf>
    <xf numFmtId="0" fontId="24" fillId="0" borderId="0" xfId="5" applyFont="1" applyFill="1" applyAlignment="1"/>
    <xf numFmtId="15" fontId="26" fillId="0" borderId="0" xfId="5" applyNumberFormat="1" applyFont="1" applyAlignment="1">
      <alignment horizontal="left" vertical="center" wrapText="1"/>
    </xf>
    <xf numFmtId="0" fontId="24" fillId="0" borderId="0" xfId="5" applyFont="1" applyAlignment="1">
      <alignment horizontal="center"/>
    </xf>
    <xf numFmtId="0" fontId="24" fillId="0" borderId="0" xfId="5" applyFont="1"/>
    <xf numFmtId="0" fontId="24" fillId="0" borderId="0" xfId="5" applyFont="1" applyAlignment="1">
      <alignment horizontal="left"/>
    </xf>
    <xf numFmtId="0" fontId="24" fillId="0" borderId="0" xfId="5" applyFont="1" applyAlignment="1"/>
    <xf numFmtId="15" fontId="12" fillId="0" borderId="1" xfId="5" applyNumberFormat="1" applyFont="1" applyBorder="1" applyAlignment="1">
      <alignment horizontal="center"/>
    </xf>
    <xf numFmtId="0" fontId="12" fillId="0" borderId="1" xfId="5" applyNumberFormat="1" applyFont="1" applyBorder="1" applyAlignment="1">
      <alignment horizontal="left" vertical="top" wrapText="1"/>
    </xf>
    <xf numFmtId="0" fontId="12" fillId="0" borderId="1" xfId="5" applyNumberFormat="1" applyFont="1" applyBorder="1" applyAlignment="1">
      <alignment vertical="top" wrapText="1"/>
    </xf>
    <xf numFmtId="0" fontId="12" fillId="0" borderId="1" xfId="5" applyNumberFormat="1" applyFont="1" applyBorder="1" applyAlignment="1">
      <alignment wrapText="1"/>
    </xf>
    <xf numFmtId="0" fontId="8" fillId="0" borderId="1" xfId="8" applyFont="1" applyFill="1" applyBorder="1" applyAlignment="1">
      <alignment horizontal="right"/>
    </xf>
    <xf numFmtId="0" fontId="8" fillId="0" borderId="0" xfId="0" applyFont="1" applyFill="1" applyBorder="1"/>
    <xf numFmtId="0" fontId="13" fillId="0" borderId="2" xfId="4" applyBorder="1" applyAlignment="1" applyProtection="1">
      <alignment horizontal="center"/>
    </xf>
    <xf numFmtId="0" fontId="13" fillId="0" borderId="14" xfId="4" applyFill="1" applyBorder="1" applyAlignment="1" applyProtection="1">
      <alignment horizontal="center"/>
    </xf>
    <xf numFmtId="0" fontId="12" fillId="0" borderId="26" xfId="5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5" applyFont="1" applyAlignment="1">
      <alignment horizontal="center"/>
    </xf>
    <xf numFmtId="0" fontId="13" fillId="0" borderId="18" xfId="4" applyBorder="1" applyAlignment="1" applyProtection="1"/>
    <xf numFmtId="15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/>
    <xf numFmtId="0" fontId="12" fillId="0" borderId="1" xfId="0" applyFont="1" applyBorder="1"/>
    <xf numFmtId="0" fontId="12" fillId="0" borderId="0" xfId="0" applyFont="1"/>
    <xf numFmtId="0" fontId="12" fillId="0" borderId="1" xfId="5" applyFont="1" applyBorder="1" applyAlignment="1">
      <alignment vertical="center"/>
    </xf>
    <xf numFmtId="0" fontId="8" fillId="0" borderId="21" xfId="0" applyFont="1" applyFill="1" applyBorder="1"/>
    <xf numFmtId="2" fontId="8" fillId="11" borderId="18" xfId="8" applyNumberFormat="1" applyFont="1" applyFill="1" applyBorder="1" applyAlignment="1">
      <alignment horizontal="center"/>
    </xf>
    <xf numFmtId="2" fontId="8" fillId="12" borderId="18" xfId="8" applyNumberFormat="1" applyFont="1" applyFill="1" applyBorder="1" applyAlignment="1">
      <alignment horizontal="center"/>
    </xf>
    <xf numFmtId="2" fontId="8" fillId="13" borderId="18" xfId="8" applyNumberFormat="1" applyFont="1" applyFill="1" applyBorder="1" applyAlignment="1">
      <alignment horizontal="center"/>
    </xf>
    <xf numFmtId="2" fontId="8" fillId="13" borderId="22" xfId="8" applyNumberFormat="1" applyFont="1" applyFill="1" applyBorder="1" applyAlignment="1">
      <alignment horizontal="center"/>
    </xf>
    <xf numFmtId="15" fontId="12" fillId="0" borderId="1" xfId="5" applyNumberFormat="1" applyFont="1" applyBorder="1"/>
    <xf numFmtId="0" fontId="26" fillId="0" borderId="0" xfId="5" applyFont="1" applyAlignment="1">
      <alignment horizontal="right"/>
    </xf>
    <xf numFmtId="0" fontId="8" fillId="0" borderId="1" xfId="5" applyFont="1" applyBorder="1"/>
    <xf numFmtId="0" fontId="24" fillId="0" borderId="1" xfId="8" applyFont="1" applyBorder="1"/>
    <xf numFmtId="0" fontId="8" fillId="7" borderId="1" xfId="5" applyFont="1" applyFill="1" applyBorder="1" applyAlignment="1">
      <alignment horizontal="left" vertical="center" wrapText="1"/>
    </xf>
    <xf numFmtId="0" fontId="9" fillId="7" borderId="0" xfId="5" applyFont="1" applyFill="1"/>
    <xf numFmtId="0" fontId="20" fillId="7" borderId="1" xfId="5" applyFont="1" applyFill="1" applyBorder="1" applyAlignment="1">
      <alignment horizontal="center"/>
    </xf>
    <xf numFmtId="0" fontId="8" fillId="7" borderId="1" xfId="5" applyFont="1" applyFill="1" applyBorder="1" applyAlignment="1">
      <alignment horizontal="center"/>
    </xf>
    <xf numFmtId="1" fontId="9" fillId="7" borderId="0" xfId="5" applyNumberFormat="1" applyFont="1" applyFill="1"/>
    <xf numFmtId="1" fontId="9" fillId="7" borderId="0" xfId="5" applyNumberFormat="1" applyFont="1" applyFill="1" applyAlignment="1">
      <alignment horizontal="right"/>
    </xf>
    <xf numFmtId="165" fontId="9" fillId="7" borderId="0" xfId="5" applyNumberFormat="1" applyFont="1" applyFill="1"/>
    <xf numFmtId="0" fontId="28" fillId="7" borderId="0" xfId="4" applyFont="1" applyFill="1" applyAlignment="1" applyProtection="1">
      <alignment horizontal="left"/>
    </xf>
    <xf numFmtId="165" fontId="9" fillId="7" borderId="0" xfId="5" quotePrefix="1" applyNumberFormat="1" applyFont="1" applyFill="1"/>
    <xf numFmtId="9" fontId="9" fillId="7" borderId="0" xfId="5" applyNumberFormat="1" applyFont="1" applyFill="1"/>
    <xf numFmtId="0" fontId="9" fillId="7" borderId="0" xfId="5" applyFont="1" applyFill="1" applyAlignment="1">
      <alignment horizontal="right"/>
    </xf>
    <xf numFmtId="0" fontId="9" fillId="7" borderId="0" xfId="8" applyFont="1" applyFill="1"/>
    <xf numFmtId="165" fontId="9" fillId="7" borderId="0" xfId="8" applyNumberFormat="1" applyFont="1" applyFill="1"/>
    <xf numFmtId="9" fontId="9" fillId="7" borderId="0" xfId="8" applyNumberFormat="1" applyFont="1" applyFill="1"/>
    <xf numFmtId="43" fontId="9" fillId="7" borderId="0" xfId="1" applyFont="1" applyFill="1"/>
    <xf numFmtId="0" fontId="8" fillId="7" borderId="1" xfId="5" applyFont="1" applyFill="1" applyBorder="1" applyAlignment="1">
      <alignment horizontal="center" textRotation="90"/>
    </xf>
    <xf numFmtId="165" fontId="8" fillId="7" borderId="16" xfId="5" applyNumberFormat="1" applyFont="1" applyFill="1" applyBorder="1" applyAlignment="1">
      <alignment horizontal="center"/>
    </xf>
    <xf numFmtId="165" fontId="8" fillId="7" borderId="0" xfId="5" applyNumberFormat="1" applyFont="1" applyFill="1" applyBorder="1" applyAlignment="1">
      <alignment horizontal="center"/>
    </xf>
    <xf numFmtId="165" fontId="8" fillId="7" borderId="1" xfId="5" applyNumberFormat="1" applyFont="1" applyFill="1" applyBorder="1" applyAlignment="1">
      <alignment horizontal="center"/>
    </xf>
    <xf numFmtId="9" fontId="8" fillId="7" borderId="17" xfId="13" applyFont="1" applyFill="1" applyBorder="1" applyAlignment="1">
      <alignment horizontal="center"/>
    </xf>
    <xf numFmtId="9" fontId="8" fillId="7" borderId="13" xfId="13" applyFont="1" applyFill="1" applyBorder="1" applyAlignment="1">
      <alignment horizontal="center"/>
    </xf>
    <xf numFmtId="9" fontId="8" fillId="7" borderId="14" xfId="13" applyFont="1" applyFill="1" applyBorder="1" applyAlignment="1">
      <alignment horizontal="center"/>
    </xf>
    <xf numFmtId="166" fontId="8" fillId="7" borderId="1" xfId="1" applyNumberFormat="1" applyFont="1" applyFill="1" applyBorder="1" applyAlignment="1">
      <alignment horizontal="center"/>
    </xf>
    <xf numFmtId="165" fontId="8" fillId="7" borderId="13" xfId="1" applyNumberFormat="1" applyFont="1" applyFill="1" applyBorder="1" applyAlignment="1">
      <alignment horizontal="center"/>
    </xf>
    <xf numFmtId="165" fontId="8" fillId="7" borderId="14" xfId="1" applyNumberFormat="1" applyFont="1" applyFill="1" applyBorder="1" applyAlignment="1">
      <alignment horizontal="center"/>
    </xf>
    <xf numFmtId="166" fontId="8" fillId="7" borderId="18" xfId="1" applyNumberFormat="1" applyFont="1" applyFill="1" applyBorder="1" applyAlignment="1">
      <alignment horizontal="center"/>
    </xf>
    <xf numFmtId="9" fontId="8" fillId="7" borderId="1" xfId="13" applyFont="1" applyFill="1" applyBorder="1" applyAlignment="1">
      <alignment horizontal="center"/>
    </xf>
    <xf numFmtId="1" fontId="8" fillId="7" borderId="18" xfId="5" applyNumberFormat="1" applyFont="1" applyFill="1" applyBorder="1" applyAlignment="1">
      <alignment horizontal="center"/>
    </xf>
    <xf numFmtId="1" fontId="8" fillId="7" borderId="1" xfId="5" applyNumberFormat="1" applyFont="1" applyFill="1" applyBorder="1" applyAlignment="1">
      <alignment horizontal="center"/>
    </xf>
    <xf numFmtId="0" fontId="24" fillId="0" borderId="0" xfId="19" applyFont="1" applyFill="1" applyBorder="1"/>
    <xf numFmtId="0" fontId="24" fillId="0" borderId="0" xfId="19" applyFont="1"/>
    <xf numFmtId="0" fontId="20" fillId="6" borderId="12" xfId="8" applyFont="1" applyFill="1" applyBorder="1" applyAlignment="1">
      <alignment horizontal="center"/>
    </xf>
    <xf numFmtId="9" fontId="8" fillId="7" borderId="17" xfId="16" applyFont="1" applyFill="1" applyBorder="1" applyAlignment="1">
      <alignment horizontal="center"/>
    </xf>
    <xf numFmtId="0" fontId="13" fillId="0" borderId="0" xfId="4" applyFill="1" applyBorder="1" applyAlignment="1" applyProtection="1">
      <alignment vertical="center"/>
    </xf>
    <xf numFmtId="0" fontId="27" fillId="0" borderId="0" xfId="4" applyFont="1" applyAlignment="1" applyProtection="1"/>
    <xf numFmtId="0" fontId="31" fillId="0" borderId="0" xfId="4" applyFont="1" applyAlignment="1" applyProtection="1"/>
    <xf numFmtId="0" fontId="31" fillId="7" borderId="0" xfId="4" applyFont="1" applyFill="1" applyAlignment="1" applyProtection="1"/>
    <xf numFmtId="0" fontId="10" fillId="0" borderId="0" xfId="5" applyFont="1" applyFill="1" applyBorder="1" applyAlignment="1"/>
    <xf numFmtId="0" fontId="21" fillId="6" borderId="4" xfId="5" applyFont="1" applyFill="1" applyBorder="1" applyAlignment="1">
      <alignment horizontal="right"/>
    </xf>
    <xf numFmtId="2" fontId="8" fillId="6" borderId="5" xfId="5" applyNumberFormat="1" applyFont="1" applyFill="1" applyBorder="1" applyAlignment="1">
      <alignment horizontal="center"/>
    </xf>
    <xf numFmtId="2" fontId="8" fillId="6" borderId="6" xfId="5" applyNumberFormat="1" applyFont="1" applyFill="1" applyBorder="1" applyAlignment="1">
      <alignment horizontal="center"/>
    </xf>
    <xf numFmtId="2" fontId="8" fillId="6" borderId="12" xfId="8" applyNumberFormat="1" applyFont="1" applyFill="1" applyBorder="1" applyAlignment="1">
      <alignment horizontal="center"/>
    </xf>
    <xf numFmtId="0" fontId="11" fillId="0" borderId="31" xfId="5" applyFont="1" applyBorder="1" applyAlignment="1">
      <alignment horizontal="center"/>
    </xf>
    <xf numFmtId="0" fontId="13" fillId="0" borderId="1" xfId="4" applyBorder="1" applyAlignment="1" applyProtection="1">
      <alignment horizontal="center"/>
    </xf>
    <xf numFmtId="0" fontId="13" fillId="0" borderId="1" xfId="4" applyFill="1" applyBorder="1" applyAlignment="1" applyProtection="1">
      <alignment horizontal="center"/>
    </xf>
    <xf numFmtId="0" fontId="12" fillId="0" borderId="8" xfId="5" applyFont="1" applyFill="1" applyBorder="1" applyAlignment="1">
      <alignment horizontal="center"/>
    </xf>
    <xf numFmtId="0" fontId="32" fillId="0" borderId="2" xfId="4" applyFont="1" applyBorder="1" applyAlignment="1" applyProtection="1">
      <alignment horizontal="center"/>
    </xf>
    <xf numFmtId="0" fontId="18" fillId="7" borderId="0" xfId="5" applyFont="1" applyFill="1" applyAlignment="1"/>
    <xf numFmtId="0" fontId="17" fillId="7" borderId="0" xfId="5" applyFont="1" applyFill="1"/>
    <xf numFmtId="0" fontId="18" fillId="7" borderId="0" xfId="5" applyFont="1" applyFill="1" applyAlignment="1">
      <alignment horizontal="right"/>
    </xf>
    <xf numFmtId="0" fontId="9" fillId="7" borderId="0" xfId="5" quotePrefix="1" applyFont="1" applyFill="1" applyAlignment="1">
      <alignment horizontal="right"/>
    </xf>
    <xf numFmtId="0" fontId="9" fillId="7" borderId="0" xfId="8" applyFont="1" applyFill="1" applyAlignment="1">
      <alignment horizontal="right"/>
    </xf>
    <xf numFmtId="0" fontId="8" fillId="7" borderId="1" xfId="5" applyFont="1" applyFill="1" applyBorder="1" applyAlignment="1">
      <alignment horizontal="right"/>
    </xf>
    <xf numFmtId="0" fontId="8" fillId="7" borderId="0" xfId="5" applyFont="1" applyFill="1" applyAlignment="1">
      <alignment horizontal="center"/>
    </xf>
    <xf numFmtId="0" fontId="8" fillId="7" borderId="0" xfId="5" applyFont="1" applyFill="1" applyAlignment="1">
      <alignment horizontal="center" vertical="center"/>
    </xf>
    <xf numFmtId="0" fontId="8" fillId="7" borderId="0" xfId="5" applyFont="1" applyFill="1"/>
    <xf numFmtId="0" fontId="10" fillId="7" borderId="16" xfId="8" applyFont="1" applyFill="1" applyBorder="1"/>
    <xf numFmtId="165" fontId="8" fillId="7" borderId="15" xfId="5" applyNumberFormat="1" applyFont="1" applyFill="1" applyBorder="1" applyAlignment="1">
      <alignment horizontal="center"/>
    </xf>
    <xf numFmtId="0" fontId="9" fillId="7" borderId="0" xfId="5" applyFont="1" applyFill="1" applyBorder="1"/>
    <xf numFmtId="0" fontId="8" fillId="7" borderId="1" xfId="8" applyFont="1" applyFill="1" applyBorder="1" applyAlignment="1">
      <alignment horizontal="left"/>
    </xf>
    <xf numFmtId="0" fontId="8" fillId="7" borderId="0" xfId="8" applyFont="1" applyFill="1" applyBorder="1" applyAlignment="1">
      <alignment horizontal="left"/>
    </xf>
    <xf numFmtId="0" fontId="8" fillId="7" borderId="1" xfId="8" applyFont="1" applyFill="1" applyBorder="1"/>
    <xf numFmtId="0" fontId="8" fillId="7" borderId="0" xfId="8" applyFont="1" applyFill="1" applyBorder="1"/>
    <xf numFmtId="0" fontId="21" fillId="7" borderId="13" xfId="8" applyFont="1" applyFill="1" applyBorder="1"/>
    <xf numFmtId="9" fontId="8" fillId="7" borderId="15" xfId="13" applyFont="1" applyFill="1" applyBorder="1" applyAlignment="1">
      <alignment horizontal="center"/>
    </xf>
    <xf numFmtId="0" fontId="8" fillId="7" borderId="2" xfId="8" applyFont="1" applyFill="1" applyBorder="1"/>
    <xf numFmtId="0" fontId="12" fillId="0" borderId="1" xfId="5" applyFont="1" applyBorder="1" applyAlignment="1">
      <alignment horizontal="center"/>
    </xf>
    <xf numFmtId="0" fontId="12" fillId="0" borderId="4" xfId="5" applyFont="1" applyFill="1" applyBorder="1"/>
    <xf numFmtId="0" fontId="12" fillId="0" borderId="5" xfId="5" applyFont="1" applyFill="1" applyBorder="1" applyAlignment="1">
      <alignment horizontal="center"/>
    </xf>
    <xf numFmtId="164" fontId="12" fillId="0" borderId="6" xfId="5" applyNumberFormat="1" applyFont="1" applyFill="1" applyBorder="1" applyAlignment="1">
      <alignment horizontal="center"/>
    </xf>
    <xf numFmtId="0" fontId="12" fillId="0" borderId="11" xfId="5" applyFont="1" applyBorder="1"/>
    <xf numFmtId="164" fontId="12" fillId="0" borderId="12" xfId="5" applyNumberFormat="1" applyFont="1" applyBorder="1"/>
    <xf numFmtId="0" fontId="12" fillId="0" borderId="7" xfId="5" applyFont="1" applyBorder="1"/>
    <xf numFmtId="0" fontId="12" fillId="0" borderId="8" xfId="5" applyFont="1" applyBorder="1" applyAlignment="1">
      <alignment horizontal="center"/>
    </xf>
    <xf numFmtId="0" fontId="12" fillId="0" borderId="3" xfId="5" applyFont="1" applyBorder="1"/>
    <xf numFmtId="164" fontId="12" fillId="0" borderId="12" xfId="5" applyNumberFormat="1" applyFont="1" applyBorder="1" applyAlignment="1">
      <alignment horizontal="center"/>
    </xf>
    <xf numFmtId="167" fontId="9" fillId="7" borderId="0" xfId="5" applyNumberFormat="1" applyFont="1" applyFill="1"/>
    <xf numFmtId="0" fontId="33" fillId="6" borderId="1" xfId="5" applyFont="1" applyFill="1" applyBorder="1"/>
    <xf numFmtId="0" fontId="8" fillId="0" borderId="13" xfId="8" applyFont="1" applyFill="1" applyBorder="1"/>
    <xf numFmtId="0" fontId="35" fillId="0" borderId="1" xfId="6" applyFont="1" applyBorder="1"/>
    <xf numFmtId="0" fontId="35" fillId="0" borderId="0" xfId="6" applyFont="1"/>
    <xf numFmtId="9" fontId="9" fillId="0" borderId="1" xfId="16" applyFont="1" applyBorder="1"/>
    <xf numFmtId="9" fontId="8" fillId="0" borderId="1" xfId="13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0" fontId="33" fillId="6" borderId="1" xfId="0" applyFont="1" applyFill="1" applyBorder="1"/>
    <xf numFmtId="0" fontId="34" fillId="0" borderId="1" xfId="0" applyFont="1" applyBorder="1"/>
    <xf numFmtId="0" fontId="24" fillId="0" borderId="0" xfId="0" applyFont="1"/>
    <xf numFmtId="0" fontId="30" fillId="0" borderId="0" xfId="21" applyFont="1" applyAlignment="1" applyProtection="1"/>
    <xf numFmtId="9" fontId="24" fillId="0" borderId="1" xfId="6" applyNumberFormat="1" applyFont="1" applyBorder="1"/>
    <xf numFmtId="9" fontId="24" fillId="0" borderId="1" xfId="5" applyNumberFormat="1" applyFont="1" applyBorder="1"/>
    <xf numFmtId="164" fontId="18" fillId="7" borderId="0" xfId="5" applyNumberFormat="1" applyFont="1" applyFill="1" applyBorder="1" applyAlignment="1" applyProtection="1">
      <protection locked="0"/>
    </xf>
    <xf numFmtId="164" fontId="17" fillId="7" borderId="0" xfId="5" applyNumberFormat="1" applyFont="1" applyFill="1" applyBorder="1" applyAlignment="1"/>
    <xf numFmtId="0" fontId="17" fillId="7" borderId="0" xfId="5" applyFont="1" applyFill="1" applyBorder="1" applyAlignment="1"/>
    <xf numFmtId="0" fontId="36" fillId="0" borderId="0" xfId="24" applyFont="1" applyAlignment="1">
      <alignment horizontal="center" vertical="center" wrapText="1"/>
    </xf>
    <xf numFmtId="0" fontId="37" fillId="0" borderId="17" xfId="19" applyFont="1" applyBorder="1" applyAlignment="1">
      <alignment horizontal="center" vertical="center" textRotation="180"/>
    </xf>
    <xf numFmtId="0" fontId="37" fillId="6" borderId="17" xfId="19" applyFont="1" applyFill="1" applyBorder="1" applyAlignment="1">
      <alignment horizontal="center" vertical="center" textRotation="180"/>
    </xf>
    <xf numFmtId="0" fontId="38" fillId="0" borderId="5" xfId="24" applyFont="1" applyBorder="1"/>
    <xf numFmtId="0" fontId="38" fillId="0" borderId="5" xfId="19" applyFont="1" applyBorder="1" applyAlignment="1">
      <alignment horizontal="center" vertical="center"/>
    </xf>
    <xf numFmtId="0" fontId="38" fillId="0" borderId="1" xfId="24" applyFont="1" applyBorder="1"/>
    <xf numFmtId="0" fontId="38" fillId="0" borderId="1" xfId="19" applyFont="1" applyBorder="1" applyAlignment="1">
      <alignment horizontal="center" vertical="center"/>
    </xf>
    <xf numFmtId="0" fontId="38" fillId="0" borderId="4" xfId="24" applyFont="1" applyBorder="1"/>
    <xf numFmtId="0" fontId="38" fillId="0" borderId="11" xfId="24" applyFont="1" applyBorder="1"/>
    <xf numFmtId="0" fontId="38" fillId="0" borderId="6" xfId="19" applyFont="1" applyBorder="1" applyAlignment="1">
      <alignment horizontal="center" vertical="center"/>
    </xf>
    <xf numFmtId="0" fontId="38" fillId="0" borderId="12" xfId="19" applyFont="1" applyBorder="1" applyAlignment="1">
      <alignment horizontal="center" vertical="center"/>
    </xf>
    <xf numFmtId="0" fontId="38" fillId="0" borderId="7" xfId="24" applyFont="1" applyBorder="1"/>
    <xf numFmtId="0" fontId="38" fillId="0" borderId="8" xfId="24" applyFont="1" applyBorder="1"/>
    <xf numFmtId="0" fontId="38" fillId="0" borderId="8" xfId="19" applyFont="1" applyBorder="1" applyAlignment="1">
      <alignment horizontal="center" vertical="center"/>
    </xf>
    <xf numFmtId="0" fontId="38" fillId="0" borderId="3" xfId="19" applyFont="1" applyBorder="1" applyAlignment="1">
      <alignment horizontal="center" vertical="center"/>
    </xf>
    <xf numFmtId="0" fontId="8" fillId="7" borderId="13" xfId="5" applyFont="1" applyFill="1" applyBorder="1" applyAlignment="1">
      <alignment horizontal="center"/>
    </xf>
    <xf numFmtId="0" fontId="8" fillId="7" borderId="14" xfId="5" applyFont="1" applyFill="1" applyBorder="1" applyAlignment="1">
      <alignment horizontal="center"/>
    </xf>
    <xf numFmtId="0" fontId="8" fillId="7" borderId="15" xfId="5" applyFont="1" applyFill="1" applyBorder="1" applyAlignment="1">
      <alignment horizontal="center"/>
    </xf>
    <xf numFmtId="0" fontId="8" fillId="0" borderId="14" xfId="5" applyFont="1" applyFill="1" applyBorder="1" applyAlignment="1">
      <alignment horizontal="center"/>
    </xf>
    <xf numFmtId="0" fontId="8" fillId="0" borderId="15" xfId="5" applyFont="1" applyFill="1" applyBorder="1" applyAlignment="1">
      <alignment horizontal="center"/>
    </xf>
    <xf numFmtId="0" fontId="11" fillId="0" borderId="13" xfId="5" applyFont="1" applyBorder="1" applyAlignment="1">
      <alignment horizontal="center"/>
    </xf>
    <xf numFmtId="0" fontId="11" fillId="0" borderId="15" xfId="5" applyFont="1" applyBorder="1" applyAlignment="1">
      <alignment horizontal="center"/>
    </xf>
    <xf numFmtId="0" fontId="10" fillId="9" borderId="27" xfId="6" applyFont="1" applyFill="1" applyBorder="1" applyAlignment="1">
      <alignment horizontal="center"/>
    </xf>
    <xf numFmtId="0" fontId="10" fillId="9" borderId="29" xfId="6" applyFont="1" applyFill="1" applyBorder="1" applyAlignment="1">
      <alignment horizontal="center"/>
    </xf>
    <xf numFmtId="0" fontId="10" fillId="10" borderId="27" xfId="6" applyFont="1" applyFill="1" applyBorder="1" applyAlignment="1">
      <alignment horizontal="center"/>
    </xf>
    <xf numFmtId="0" fontId="10" fillId="10" borderId="29" xfId="6" applyFont="1" applyFill="1" applyBorder="1" applyAlignment="1">
      <alignment horizontal="center"/>
    </xf>
    <xf numFmtId="0" fontId="10" fillId="8" borderId="27" xfId="6" applyFont="1" applyFill="1" applyBorder="1" applyAlignment="1">
      <alignment horizontal="center"/>
    </xf>
    <xf numFmtId="0" fontId="10" fillId="8" borderId="28" xfId="6" applyFont="1" applyFill="1" applyBorder="1" applyAlignment="1">
      <alignment horizontal="center"/>
    </xf>
    <xf numFmtId="164" fontId="18" fillId="7" borderId="0" xfId="5" applyNumberFormat="1" applyFont="1" applyFill="1" applyBorder="1" applyAlignment="1" applyProtection="1">
      <alignment horizontal="left"/>
      <protection locked="0"/>
    </xf>
    <xf numFmtId="164" fontId="17" fillId="7" borderId="0" xfId="5" applyNumberFormat="1" applyFont="1" applyFill="1" applyBorder="1" applyAlignment="1">
      <alignment horizontal="left"/>
    </xf>
    <xf numFmtId="0" fontId="17" fillId="7" borderId="0" xfId="5" applyFont="1" applyFill="1" applyBorder="1" applyAlignment="1">
      <alignment horizontal="left"/>
    </xf>
    <xf numFmtId="0" fontId="8" fillId="7" borderId="13" xfId="5" applyFont="1" applyFill="1" applyBorder="1" applyAlignment="1">
      <alignment horizontal="center"/>
    </xf>
    <xf numFmtId="0" fontId="8" fillId="7" borderId="14" xfId="5" applyFont="1" applyFill="1" applyBorder="1" applyAlignment="1">
      <alignment horizontal="center"/>
    </xf>
    <xf numFmtId="0" fontId="8" fillId="7" borderId="15" xfId="5" applyFont="1" applyFill="1" applyBorder="1" applyAlignment="1">
      <alignment horizontal="center"/>
    </xf>
    <xf numFmtId="0" fontId="10" fillId="6" borderId="9" xfId="5" applyFont="1" applyFill="1" applyBorder="1" applyAlignment="1">
      <alignment horizontal="left"/>
    </xf>
    <xf numFmtId="0" fontId="10" fillId="6" borderId="10" xfId="5" applyFont="1" applyFill="1" applyBorder="1" applyAlignment="1">
      <alignment horizontal="left"/>
    </xf>
    <xf numFmtId="0" fontId="21" fillId="6" borderId="19" xfId="5" applyFont="1" applyFill="1" applyBorder="1" applyAlignment="1">
      <alignment horizontal="left"/>
    </xf>
    <xf numFmtId="0" fontId="21" fillId="6" borderId="20" xfId="5" applyFont="1" applyFill="1" applyBorder="1" applyAlignment="1">
      <alignment horizontal="left"/>
    </xf>
    <xf numFmtId="0" fontId="10" fillId="6" borderId="9" xfId="6" applyFont="1" applyFill="1" applyBorder="1" applyAlignment="1">
      <alignment horizontal="left"/>
    </xf>
    <xf numFmtId="0" fontId="10" fillId="6" borderId="10" xfId="6" applyFont="1" applyFill="1" applyBorder="1" applyAlignment="1">
      <alignment horizontal="left"/>
    </xf>
    <xf numFmtId="0" fontId="10" fillId="5" borderId="9" xfId="5" applyFont="1" applyFill="1" applyBorder="1" applyAlignment="1">
      <alignment horizontal="left"/>
    </xf>
    <xf numFmtId="0" fontId="10" fillId="5" borderId="30" xfId="5" applyFont="1" applyFill="1" applyBorder="1" applyAlignment="1">
      <alignment horizontal="left"/>
    </xf>
    <xf numFmtId="0" fontId="10" fillId="5" borderId="10" xfId="5" applyFont="1" applyFill="1" applyBorder="1" applyAlignment="1">
      <alignment horizontal="left"/>
    </xf>
    <xf numFmtId="164" fontId="18" fillId="0" borderId="0" xfId="5" applyNumberFormat="1" applyFont="1" applyFill="1" applyBorder="1" applyAlignment="1" applyProtection="1">
      <alignment horizontal="left"/>
      <protection locked="0"/>
    </xf>
    <xf numFmtId="164" fontId="17" fillId="0" borderId="0" xfId="5" applyNumberFormat="1" applyFont="1" applyFill="1" applyBorder="1" applyAlignment="1">
      <alignment horizontal="left"/>
    </xf>
    <xf numFmtId="0" fontId="17" fillId="0" borderId="0" xfId="5" applyFont="1" applyFill="1" applyBorder="1" applyAlignment="1">
      <alignment horizontal="left"/>
    </xf>
    <xf numFmtId="0" fontId="8" fillId="0" borderId="13" xfId="5" applyFont="1" applyFill="1" applyBorder="1" applyAlignment="1">
      <alignment horizontal="center"/>
    </xf>
    <xf numFmtId="0" fontId="8" fillId="0" borderId="14" xfId="5" applyFont="1" applyFill="1" applyBorder="1" applyAlignment="1">
      <alignment horizontal="center"/>
    </xf>
    <xf numFmtId="0" fontId="8" fillId="0" borderId="15" xfId="5" applyFont="1" applyFill="1" applyBorder="1" applyAlignment="1">
      <alignment horizontal="center"/>
    </xf>
    <xf numFmtId="0" fontId="26" fillId="0" borderId="31" xfId="17" applyFont="1" applyBorder="1" applyAlignment="1">
      <alignment horizontal="center" vertical="center"/>
    </xf>
    <xf numFmtId="0" fontId="39" fillId="14" borderId="32" xfId="19" applyFont="1" applyFill="1" applyBorder="1" applyAlignment="1">
      <alignment horizontal="center" vertical="center" textRotation="180" wrapText="1"/>
    </xf>
    <xf numFmtId="0" fontId="39" fillId="14" borderId="33" xfId="19" applyFont="1" applyFill="1" applyBorder="1" applyAlignment="1">
      <alignment horizontal="center" vertical="center" textRotation="180" wrapText="1"/>
    </xf>
    <xf numFmtId="0" fontId="39" fillId="14" borderId="34" xfId="19" applyFont="1" applyFill="1" applyBorder="1" applyAlignment="1">
      <alignment horizontal="center" vertical="center" textRotation="180" wrapText="1"/>
    </xf>
  </cellXfs>
  <cellStyles count="25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Hyperlink" xfId="4" builtinId="8"/>
    <cellStyle name="Hyperlink 2" xfId="21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22" xr:uid="{00000000-0005-0000-0000-000008000000}"/>
    <cellStyle name="Normal 2 3" xfId="23" xr:uid="{00000000-0005-0000-0000-000009000000}"/>
    <cellStyle name="Normal 3" xfId="7" xr:uid="{00000000-0005-0000-0000-00000A000000}"/>
    <cellStyle name="Normal 3 2" xfId="8" xr:uid="{00000000-0005-0000-0000-00000B000000}"/>
    <cellStyle name="Normal 3 2 2" xfId="18" xr:uid="{00000000-0005-0000-0000-00000C000000}"/>
    <cellStyle name="Normal 4" xfId="9" xr:uid="{00000000-0005-0000-0000-00000D000000}"/>
    <cellStyle name="Normal 4 2" xfId="19" xr:uid="{00000000-0005-0000-0000-00000E000000}"/>
    <cellStyle name="Normal 5" xfId="15" xr:uid="{00000000-0005-0000-0000-00000F000000}"/>
    <cellStyle name="Normal 6" xfId="20" xr:uid="{00000000-0005-0000-0000-000010000000}"/>
    <cellStyle name="Normal 7" xfId="24" xr:uid="{00000000-0005-0000-0000-000011000000}"/>
    <cellStyle name="Normal_HSC HS DRRS-N FY-09" xfId="17" xr:uid="{00000000-0005-0000-0000-000012000000}"/>
    <cellStyle name="Normal1" xfId="10" xr:uid="{00000000-0005-0000-0000-000013000000}"/>
    <cellStyle name="Normal2" xfId="11" xr:uid="{00000000-0005-0000-0000-000014000000}"/>
    <cellStyle name="Percent" xfId="16" builtinId="5"/>
    <cellStyle name="Percent 2" xfId="12" xr:uid="{00000000-0005-0000-0000-000016000000}"/>
    <cellStyle name="Percent 2 2" xfId="13" xr:uid="{00000000-0005-0000-0000-000017000000}"/>
    <cellStyle name="Percent 3" xfId="14" xr:uid="{00000000-0005-0000-0000-000018000000}"/>
  </cellStyles>
  <dxfs count="113"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7979"/>
      </font>
    </dxf>
    <dxf>
      <font>
        <color rgb="FFFFFF99"/>
      </font>
    </dxf>
    <dxf>
      <font>
        <color rgb="FF66FF66"/>
      </font>
    </dxf>
    <dxf>
      <font>
        <color rgb="FFFF7979"/>
      </font>
    </dxf>
    <dxf>
      <font>
        <color rgb="FFFF7979"/>
      </font>
    </dxf>
    <dxf>
      <font>
        <color rgb="FFFFFF99"/>
      </font>
    </dxf>
    <dxf>
      <font>
        <color rgb="FF66FF66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66FF66"/>
      </font>
    </dxf>
    <dxf>
      <font>
        <color rgb="FFFF7979"/>
      </font>
    </dxf>
    <dxf>
      <font>
        <color rgb="FFFFFF99"/>
      </font>
    </dxf>
    <dxf>
      <font>
        <color rgb="FF66FF66"/>
      </font>
    </dxf>
    <dxf>
      <font>
        <color rgb="FFFF7979"/>
      </font>
    </dxf>
    <dxf>
      <font>
        <color rgb="FFFFFF99"/>
      </font>
    </dxf>
    <dxf>
      <font>
        <color rgb="FFFF7979"/>
      </font>
    </dxf>
    <dxf>
      <font>
        <color rgb="FFFFFF99"/>
      </font>
    </dxf>
    <dxf>
      <font>
        <color rgb="FF66FF66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66FF66"/>
      </font>
    </dxf>
    <dxf>
      <font>
        <color rgb="FFFF7979"/>
      </font>
    </dxf>
    <dxf>
      <font>
        <color rgb="FFFFFF99"/>
      </font>
    </dxf>
    <dxf>
      <font>
        <color rgb="FF66FF66"/>
      </font>
    </dxf>
    <dxf>
      <font>
        <color rgb="FFFF7979"/>
      </font>
    </dxf>
    <dxf>
      <font>
        <color rgb="FFFFFF99"/>
      </font>
    </dxf>
    <dxf>
      <font>
        <color rgb="FFFF7979"/>
      </font>
    </dxf>
    <dxf>
      <font>
        <color rgb="FF66FF66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66FF66"/>
      </font>
    </dxf>
    <dxf>
      <font>
        <color rgb="FFFF7979"/>
      </font>
    </dxf>
    <dxf>
      <font>
        <color rgb="FFFFFF99"/>
      </font>
    </dxf>
    <dxf>
      <font>
        <color rgb="FF66FF66"/>
      </font>
    </dxf>
    <dxf>
      <font>
        <color rgb="FFFF7979"/>
      </font>
    </dxf>
    <dxf>
      <font>
        <color rgb="FFFFFF99"/>
      </font>
    </dxf>
    <dxf>
      <font>
        <color rgb="FFFF7979"/>
      </font>
    </dxf>
    <dxf>
      <font>
        <color rgb="FF66FF66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66FF66"/>
      </font>
    </dxf>
    <dxf>
      <font>
        <color rgb="FFFF7979"/>
      </font>
    </dxf>
    <dxf>
      <font>
        <color rgb="FFFFFF99"/>
      </font>
    </dxf>
    <dxf>
      <font>
        <color rgb="FF66FF66"/>
      </font>
    </dxf>
    <dxf>
      <font>
        <color rgb="FFFF7979"/>
      </font>
    </dxf>
    <dxf>
      <font>
        <color rgb="FFFFFF99"/>
      </font>
    </dxf>
    <dxf>
      <font>
        <color rgb="FFFF7979"/>
      </font>
    </dxf>
    <dxf>
      <font>
        <color rgb="FFFF7979"/>
      </font>
    </dxf>
    <dxf>
      <font>
        <color rgb="FFFF7979"/>
      </font>
    </dxf>
    <dxf>
      <font>
        <color rgb="FFFFFF99"/>
      </font>
    </dxf>
    <dxf>
      <font>
        <color rgb="FF66FF66"/>
      </font>
    </dxf>
    <dxf>
      <font>
        <color rgb="FFFF7979"/>
      </font>
    </dxf>
    <dxf>
      <font>
        <color rgb="FFFFFF99"/>
      </font>
    </dxf>
    <dxf>
      <font>
        <color rgb="FF66FF66"/>
      </font>
    </dxf>
    <dxf>
      <font>
        <color rgb="FFFF7979"/>
      </font>
    </dxf>
    <dxf>
      <font>
        <color rgb="FFFF7979"/>
      </font>
    </dxf>
    <dxf>
      <font>
        <color rgb="FFFFFF99"/>
      </font>
    </dxf>
    <dxf>
      <font>
        <color rgb="FF66FF66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66FF66"/>
      </font>
    </dxf>
    <dxf>
      <font>
        <color rgb="FFFF7979"/>
      </font>
    </dxf>
    <dxf>
      <font>
        <color rgb="FFFFFF99"/>
      </font>
    </dxf>
    <dxf>
      <font>
        <color rgb="FF66FF66"/>
      </font>
    </dxf>
    <dxf>
      <font>
        <color rgb="FFFF7979"/>
      </font>
    </dxf>
    <dxf>
      <font>
        <color rgb="FFFFFF99"/>
      </font>
    </dxf>
    <dxf>
      <font>
        <color rgb="FFFF7979"/>
      </font>
    </dxf>
    <dxf>
      <font>
        <color rgb="FFFFFF99"/>
      </font>
    </dxf>
    <dxf>
      <font>
        <color rgb="FF66FF66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66FF66"/>
      </font>
    </dxf>
    <dxf>
      <font>
        <color rgb="FFFF7979"/>
      </font>
    </dxf>
    <dxf>
      <font>
        <color rgb="FFFFFF99"/>
      </font>
    </dxf>
    <dxf>
      <font>
        <color rgb="FF66FF66"/>
      </font>
    </dxf>
    <dxf>
      <font>
        <color rgb="FFFF7979"/>
      </font>
    </dxf>
    <dxf>
      <font>
        <color rgb="FFFFFF99"/>
      </font>
    </dxf>
    <dxf>
      <font>
        <color rgb="FFFF7979"/>
      </font>
    </dxf>
    <dxf>
      <font>
        <color rgb="FF66FF66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66FF66"/>
      </font>
    </dxf>
    <dxf>
      <font>
        <color rgb="FFFF7979"/>
      </font>
    </dxf>
    <dxf>
      <font>
        <color rgb="FFFFFF99"/>
      </font>
    </dxf>
    <dxf>
      <font>
        <color rgb="FF66FF66"/>
      </font>
    </dxf>
    <dxf>
      <font>
        <color rgb="FFFF7979"/>
      </font>
    </dxf>
    <dxf>
      <font>
        <color rgb="FFFFFF99"/>
      </font>
    </dxf>
    <dxf>
      <font>
        <color rgb="FFFF7979"/>
      </font>
    </dxf>
    <dxf>
      <font>
        <color rgb="FF66FF66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66FF66"/>
      </font>
    </dxf>
    <dxf>
      <font>
        <color rgb="FFFF7979"/>
      </font>
    </dxf>
    <dxf>
      <font>
        <color rgb="FFFFFF99"/>
      </font>
    </dxf>
    <dxf>
      <font>
        <color rgb="FF66FF66"/>
      </font>
    </dxf>
    <dxf>
      <font>
        <color rgb="FFFF7979"/>
      </font>
    </dxf>
    <dxf>
      <font>
        <color rgb="FFFFFF99"/>
      </font>
    </dxf>
    <dxf>
      <font>
        <color rgb="FFFF7979"/>
      </font>
    </dxf>
    <dxf>
      <font>
        <color rgb="FFFF7979"/>
      </font>
    </dxf>
    <dxf>
      <font>
        <color rgb="FFFF7979"/>
      </font>
    </dxf>
    <dxf>
      <font>
        <color rgb="FFFFFF99"/>
      </font>
    </dxf>
    <dxf>
      <font>
        <color rgb="FF66FF66"/>
      </font>
    </dxf>
  </dxfs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E1\WORKSHEETS-%20RFT%20DATA\JUN%2005\VS32%20Jun05%20NAVRIIP.xls!VS%20(6)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wemugufs08va\WINNT\Temporary%20Internet%20Files\OLKE1\MH60S%20DRAFT%20STANDARDS%202%20SEP%2020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wesdnifs01va\CINCPACFLT$\WINNT\Temporary%20Internet%20Files\OLKE1\MH60S%20DRAFT%20STANDARDS%202%20SEP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1297\VS22%20OCT04%20NAVRIIP%20Worksheet.xls!VS%20(8)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wespscfs02vb\cincpacflt\WINNT\Temporary%20Internet%20Files\OLKE1\WORKSHEETS-%20RFT%20DATA\JUN%2005\VS32%20Jun05%20NAVRIIP.xls!VS%20(6)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wespscfs02vb\cincpacflt\WINNT\Temporary%20Internet%20Files\OLK1297\VS22%20OCT04%20NAVRIIP%20Worksheet.xls!VS%20(8)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1A\OLKE1\WORKSHEETS-%20RFT%20DATA\JUN%2005\VS32%20Jun05%20NAVRIIP.xls!VS%20(6)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1A\OLK1297\VS22%20OCT04%20NAVRIIP%20Worksheet.xls!VS%20(8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wemugufs08va\WINNT\Temporary%20Internet%20Files\OLKE1\WORKSHEETS-%20RFT%20DATA\JUN%2005\VS32%20Jun05%20NAVRIIP.xls!VS%20(6)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wemugufs08va\WINNT\Temporary%20Internet%20Files\OLK1297\VS22%20OCT04%20NAVRIIP%20Worksheet.xls!VS%20(8)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wespscfs02vb\cincpacflt\WINNT\Temporary%20Internet%20Files\OLKE1\MH60S%20DRAFT%20STANDARDS%202%20SEP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32 Jun05 NAVRIIP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 BUDGETS"/>
      <sheetName val="REVISED BUDGETS"/>
      <sheetName val="CHARTS"/>
      <sheetName val="Planning Factors"/>
      <sheetName val="HSC EXP 1AC FDNF STANDARD"/>
      <sheetName val="HSC EXP 2 AC FDNF ESG STANDARD"/>
      <sheetName val="HSC EXP 4AC FDNF STANDARD"/>
      <sheetName val="HSC EXP 2 AC FDNF MSC STANDARD"/>
      <sheetName val="HSC EXP 3 AC FDNF STANDARD"/>
      <sheetName val="HSC EXP 2 AC CSG ESG W FRS ST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 BUDGETS"/>
      <sheetName val="REVISED BUDGETS"/>
      <sheetName val="CHARTS"/>
      <sheetName val="Planning Factors"/>
      <sheetName val="HSC EXP 1AC FDNF STANDARD"/>
      <sheetName val="HSC EXP 2 AC FDNF ESG STANDARD"/>
      <sheetName val="HSC EXP 4AC FDNF STANDARD"/>
      <sheetName val="HSC EXP 2 AC FDNF MSC STANDARD"/>
      <sheetName val="HSC EXP 3 AC FDNF STANDARD"/>
      <sheetName val="HSC EXP 2 AC CSG ESG W FRS STN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22 OCT04 NAVRIIP Workshee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32 Jun05 NAVRIIP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22 OCT04 NAVRIIP Worksheet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32 Jun05 NAVRIIP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22 OCT04 NAVRIIP Worksheet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32 Jun05 NAVRIIP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22 OCT04 NAVRIIP Worksheet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 BUDGETS"/>
      <sheetName val="REVISED BUDGETS"/>
      <sheetName val="CHARTS"/>
      <sheetName val="Planning Factors"/>
      <sheetName val="HSC EXP 1AC FDNF STANDARD"/>
      <sheetName val="HSC EXP 2 AC FDNF ESG STANDARD"/>
      <sheetName val="HSC EXP 4AC FDNF STANDARD"/>
      <sheetName val="HSC EXP 2 AC FDNF MSC STANDARD"/>
      <sheetName val="HSC EXP 3 AC FDNF STANDARD"/>
      <sheetName val="HSC EXP 2 AC CSG ESG W FRS STN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showGridLines="0" tabSelected="1" zoomScaleNormal="100" workbookViewId="0">
      <selection sqref="A1:B1"/>
    </sheetView>
  </sheetViews>
  <sheetFormatPr defaultColWidth="9.140625" defaultRowHeight="15" x14ac:dyDescent="0.25"/>
  <cols>
    <col min="1" max="1" width="62.85546875" style="18" bestFit="1" customWidth="1"/>
    <col min="2" max="3" width="12.140625" style="148" customWidth="1"/>
    <col min="4" max="4" width="21" style="18" customWidth="1"/>
    <col min="5" max="16384" width="9.140625" style="18"/>
  </cols>
  <sheetData>
    <row r="1" spans="1:5" x14ac:dyDescent="0.25">
      <c r="A1" s="278" t="s">
        <v>0</v>
      </c>
      <c r="B1" s="279"/>
      <c r="C1" s="206" t="s">
        <v>1</v>
      </c>
      <c r="D1" s="82" t="s">
        <v>2</v>
      </c>
    </row>
    <row r="2" spans="1:5" x14ac:dyDescent="0.25">
      <c r="A2" s="149" t="str">
        <f>'MQ-8C SUW 1 Plane - 2 Crew'!A1</f>
        <v>Readiness Standards  HSC MQ-8C SUW DET - 1 Plane - 2 Crew</v>
      </c>
      <c r="B2" s="144" t="s">
        <v>3</v>
      </c>
      <c r="C2" s="210">
        <f>'MQ-8C SUW 1 Plane - 2 Crew'!AD1</f>
        <v>8.01</v>
      </c>
      <c r="D2" s="81">
        <f>'MQ-8C SUW 1 Plane - 2 Crew'!M1</f>
        <v>44835</v>
      </c>
      <c r="E2" s="23" t="str">
        <f ca="1">IF(D2&gt;NOW()-90," ! NEW","")</f>
        <v/>
      </c>
    </row>
    <row r="3" spans="1:5" x14ac:dyDescent="0.25">
      <c r="A3" s="22" t="str">
        <f>'MQ-8C MIW 1 Plane - 2 Crew'!A1</f>
        <v>Readiness Standards  HSC MQ-8C MIW DET - 1 Plane - 2 Crew</v>
      </c>
      <c r="B3" s="144" t="s">
        <v>3</v>
      </c>
      <c r="C3" s="210">
        <f>'MQ-8C MIW 1 Plane - 2 Crew'!AD1</f>
        <v>8.02</v>
      </c>
      <c r="D3" s="19">
        <f>'MQ-8C MIW 1 Plane - 2 Crew'!M1</f>
        <v>44835</v>
      </c>
      <c r="E3" s="23" t="str">
        <f t="shared" ref="E3:E7" ca="1" si="0">IF(D3&gt;NOW()-90," ! NEW","")</f>
        <v/>
      </c>
    </row>
    <row r="4" spans="1:5" x14ac:dyDescent="0.25">
      <c r="A4" s="80" t="str">
        <f>'MQ-8C Matrix MIW'!C2</f>
        <v>Navy MQ-8C TMS MIW MET to Mission System Map</v>
      </c>
      <c r="B4" s="144"/>
      <c r="C4" s="207"/>
      <c r="D4" s="81">
        <f>'MQ-8C Matrix MIW'!B1</f>
        <v>44197</v>
      </c>
      <c r="E4" s="23" t="str">
        <f t="shared" ca="1" si="0"/>
        <v/>
      </c>
    </row>
    <row r="5" spans="1:5" x14ac:dyDescent="0.25">
      <c r="A5" s="22" t="str">
        <f>'MQ-8C Matrix SUW'!$C$2</f>
        <v>Navy MQ-8C TMS SUW MET to Mission System Map</v>
      </c>
      <c r="B5" s="145"/>
      <c r="C5" s="208"/>
      <c r="D5" s="19">
        <f>'MQ-8C Matrix SUW'!B1</f>
        <v>44197</v>
      </c>
      <c r="E5" s="23" t="str">
        <f t="shared" ca="1" si="0"/>
        <v/>
      </c>
    </row>
    <row r="6" spans="1:5" x14ac:dyDescent="0.25">
      <c r="A6" s="80" t="str">
        <f>'MQ-8C Mission System Summary'!A1</f>
        <v>MQ-8C Mission System Utilization per Flight Task</v>
      </c>
      <c r="B6" s="144"/>
      <c r="C6" s="210"/>
      <c r="D6" s="81">
        <f>'MQ-8C Mission System Summary'!J1</f>
        <v>44859</v>
      </c>
      <c r="E6" s="23" t="str">
        <f ca="1">IF(D6&gt;NOW()-90," ! NEW","")</f>
        <v/>
      </c>
    </row>
    <row r="7" spans="1:5" ht="15.75" thickBot="1" x14ac:dyDescent="0.3">
      <c r="A7" s="20"/>
      <c r="B7" s="146"/>
      <c r="C7" s="209"/>
      <c r="D7" s="21"/>
      <c r="E7" s="23" t="str">
        <f t="shared" ca="1" si="0"/>
        <v/>
      </c>
    </row>
    <row r="8" spans="1:5" x14ac:dyDescent="0.25">
      <c r="A8" s="231" t="s">
        <v>4</v>
      </c>
      <c r="B8" s="232"/>
      <c r="C8" s="232"/>
      <c r="D8" s="233" t="s">
        <v>5</v>
      </c>
      <c r="E8" s="23"/>
    </row>
    <row r="9" spans="1:5" x14ac:dyDescent="0.25">
      <c r="A9" s="234" t="s">
        <v>6</v>
      </c>
      <c r="B9" s="230"/>
      <c r="C9" s="230"/>
      <c r="D9" s="239" t="s">
        <v>5</v>
      </c>
    </row>
    <row r="10" spans="1:5" x14ac:dyDescent="0.25">
      <c r="A10" s="234"/>
      <c r="B10" s="230"/>
      <c r="C10" s="230"/>
      <c r="D10" s="235"/>
    </row>
    <row r="11" spans="1:5" x14ac:dyDescent="0.25">
      <c r="A11" s="234"/>
      <c r="B11" s="230"/>
      <c r="C11" s="230"/>
      <c r="D11" s="235"/>
    </row>
    <row r="12" spans="1:5" x14ac:dyDescent="0.25">
      <c r="A12" s="234"/>
      <c r="B12" s="230"/>
      <c r="C12" s="230"/>
      <c r="D12" s="235"/>
    </row>
    <row r="13" spans="1:5" x14ac:dyDescent="0.25">
      <c r="A13" s="234"/>
      <c r="B13" s="230"/>
      <c r="C13" s="230"/>
      <c r="D13" s="235"/>
    </row>
    <row r="14" spans="1:5" x14ac:dyDescent="0.25">
      <c r="A14" s="234"/>
      <c r="B14" s="230"/>
      <c r="C14" s="230"/>
      <c r="D14" s="235"/>
    </row>
    <row r="15" spans="1:5" ht="15.75" thickBot="1" x14ac:dyDescent="0.3">
      <c r="A15" s="236"/>
      <c r="B15" s="237"/>
      <c r="C15" s="237"/>
      <c r="D15" s="238"/>
    </row>
    <row r="17" spans="1:3" x14ac:dyDescent="0.25">
      <c r="A17" s="24" t="s">
        <v>7</v>
      </c>
      <c r="B17" s="147"/>
      <c r="C17" s="147"/>
    </row>
  </sheetData>
  <mergeCells count="1">
    <mergeCell ref="A1:B1"/>
  </mergeCells>
  <hyperlinks>
    <hyperlink ref="A5" location="'MQ-8C Matrix SUW'!A1" display="'MQ-8C Matrix SUW'!A1" xr:uid="{00000000-0004-0000-0000-000000000000}"/>
    <hyperlink ref="B2" location="'MQ-8C SUW 1 Plane - 2 Crew'!A114" display="AMFOM" xr:uid="{00000000-0004-0000-0000-000001000000}"/>
    <hyperlink ref="A2" location="'MQ-8C SUW 1 Plane - 2 Crew'!A1" display="'MQ-8C SUW 1 Plane - 2 Crew'!A1" xr:uid="{00000000-0004-0000-0000-000002000000}"/>
    <hyperlink ref="A3" location="'MQ-8C MIW 1 Plane - 2 Crew'!A1" display="'MQ-8C MIW 1 Plane - 2 Crew'!A1" xr:uid="{00000000-0004-0000-0000-000003000000}"/>
    <hyperlink ref="B3" location="'MQ-8C MIW 1 Plane - 2 Crew'!A114" display="AMFOM" xr:uid="{00000000-0004-0000-0000-000004000000}"/>
    <hyperlink ref="A4" location="'MQ-8C Matrix MIW'!A1" display="'MQ-8C Matrix MIW'!A1" xr:uid="{00000000-0004-0000-0000-000005000000}"/>
    <hyperlink ref="A6" location="'MQ-8C Mission System Summary'!A1" display="'MQ-8C Mission System Summary'!A1" xr:uid="{00000000-0004-0000-0000-000006000000}"/>
  </hyperlink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showGridLines="0" zoomScaleNormal="100" workbookViewId="0">
      <selection activeCell="A4" sqref="A4"/>
    </sheetView>
  </sheetViews>
  <sheetFormatPr defaultColWidth="9.140625" defaultRowHeight="15" x14ac:dyDescent="0.25"/>
  <cols>
    <col min="1" max="1" width="11.28515625" style="18" bestFit="1" customWidth="1"/>
    <col min="2" max="2" width="26.5703125" style="18" bestFit="1" customWidth="1"/>
    <col min="3" max="3" width="106.85546875" style="18" customWidth="1"/>
    <col min="4" max="16384" width="9.140625" style="18"/>
  </cols>
  <sheetData>
    <row r="1" spans="1:3" x14ac:dyDescent="0.25">
      <c r="A1" s="25" t="s">
        <v>8</v>
      </c>
      <c r="B1" s="25" t="s">
        <v>9</v>
      </c>
      <c r="C1" s="26" t="s">
        <v>10</v>
      </c>
    </row>
    <row r="2" spans="1:3" x14ac:dyDescent="0.25">
      <c r="A2" s="83">
        <v>44197</v>
      </c>
      <c r="B2" s="84" t="s">
        <v>11</v>
      </c>
      <c r="C2" s="139" t="s">
        <v>12</v>
      </c>
    </row>
    <row r="3" spans="1:3" x14ac:dyDescent="0.25">
      <c r="A3" s="83">
        <v>44835</v>
      </c>
      <c r="B3" s="84" t="s">
        <v>11</v>
      </c>
      <c r="C3" s="139" t="s">
        <v>12</v>
      </c>
    </row>
    <row r="4" spans="1:3" x14ac:dyDescent="0.25">
      <c r="A4" s="83"/>
      <c r="B4" s="84"/>
      <c r="C4" s="139"/>
    </row>
    <row r="5" spans="1:3" x14ac:dyDescent="0.25">
      <c r="A5" s="83"/>
      <c r="B5" s="84"/>
      <c r="C5" s="139"/>
    </row>
    <row r="6" spans="1:3" x14ac:dyDescent="0.25">
      <c r="A6" s="83"/>
      <c r="B6" s="84"/>
      <c r="C6" s="139"/>
    </row>
    <row r="7" spans="1:3" x14ac:dyDescent="0.25">
      <c r="A7" s="83"/>
      <c r="B7" s="84"/>
      <c r="C7" s="140"/>
    </row>
    <row r="8" spans="1:3" x14ac:dyDescent="0.25">
      <c r="A8" s="83"/>
      <c r="B8" s="84"/>
      <c r="C8" s="140"/>
    </row>
    <row r="9" spans="1:3" x14ac:dyDescent="0.25">
      <c r="A9" s="83"/>
      <c r="B9" s="84"/>
      <c r="C9" s="140"/>
    </row>
    <row r="10" spans="1:3" x14ac:dyDescent="0.25">
      <c r="A10" s="83"/>
      <c r="B10" s="84"/>
      <c r="C10" s="140"/>
    </row>
    <row r="11" spans="1:3" x14ac:dyDescent="0.25">
      <c r="A11" s="83"/>
      <c r="B11" s="84"/>
      <c r="C11" s="140"/>
    </row>
    <row r="12" spans="1:3" x14ac:dyDescent="0.25">
      <c r="A12" s="83"/>
      <c r="B12" s="84"/>
      <c r="C12" s="140"/>
    </row>
    <row r="13" spans="1:3" x14ac:dyDescent="0.25">
      <c r="A13" s="138"/>
      <c r="B13" s="119"/>
      <c r="C13" s="141"/>
    </row>
    <row r="14" spans="1:3" x14ac:dyDescent="0.25">
      <c r="A14" s="138"/>
      <c r="B14" s="119"/>
      <c r="C14" s="141"/>
    </row>
    <row r="15" spans="1:3" s="153" customFormat="1" x14ac:dyDescent="0.25">
      <c r="A15" s="150"/>
      <c r="B15" s="151"/>
      <c r="C15" s="152"/>
    </row>
    <row r="16" spans="1:3" s="153" customFormat="1" x14ac:dyDescent="0.25">
      <c r="A16" s="150"/>
      <c r="B16" s="151"/>
      <c r="C16" s="152"/>
    </row>
    <row r="17" spans="1:3" x14ac:dyDescent="0.25">
      <c r="A17" s="150"/>
      <c r="B17" s="154"/>
      <c r="C17" s="119"/>
    </row>
    <row r="18" spans="1:3" x14ac:dyDescent="0.25">
      <c r="A18" s="160"/>
      <c r="B18" s="119"/>
      <c r="C18" s="141"/>
    </row>
    <row r="19" spans="1:3" x14ac:dyDescent="0.25">
      <c r="A19" s="119"/>
      <c r="B19" s="119"/>
      <c r="C19" s="119"/>
    </row>
    <row r="20" spans="1:3" x14ac:dyDescent="0.25">
      <c r="A20" s="119"/>
      <c r="B20" s="119"/>
      <c r="C20" s="119"/>
    </row>
    <row r="21" spans="1:3" x14ac:dyDescent="0.25">
      <c r="A21" s="119"/>
      <c r="B21" s="119"/>
      <c r="C21" s="119"/>
    </row>
    <row r="22" spans="1:3" x14ac:dyDescent="0.25">
      <c r="A22" s="119"/>
      <c r="B22" s="119"/>
      <c r="C22" s="119"/>
    </row>
    <row r="23" spans="1:3" x14ac:dyDescent="0.25">
      <c r="A23" s="119"/>
      <c r="B23" s="119"/>
      <c r="C23" s="119"/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12"/>
  <sheetViews>
    <sheetView showGridLines="0" topLeftCell="A71" zoomScaleNormal="100" workbookViewId="0">
      <selection activeCell="A114" sqref="A114"/>
    </sheetView>
  </sheetViews>
  <sheetFormatPr defaultColWidth="9.140625" defaultRowHeight="11.25" x14ac:dyDescent="0.2"/>
  <cols>
    <col min="1" max="1" width="61.85546875" style="38" customWidth="1"/>
    <col min="2" max="16" width="5.7109375" style="38" customWidth="1"/>
    <col min="17" max="17" width="5.7109375" style="36" customWidth="1"/>
    <col min="18" max="18" width="6.28515625" style="36" customWidth="1"/>
    <col min="19" max="19" width="4.7109375" style="36" bestFit="1" customWidth="1"/>
    <col min="20" max="29" width="5.7109375" style="38" customWidth="1"/>
    <col min="30" max="30" width="7" style="38" bestFit="1" customWidth="1"/>
    <col min="31" max="64" width="5.7109375" style="38" customWidth="1"/>
    <col min="65" max="16384" width="9.140625" style="38"/>
  </cols>
  <sheetData>
    <row r="1" spans="1:30" s="27" customFormat="1" ht="18.75" x14ac:dyDescent="0.3">
      <c r="A1" s="211" t="s">
        <v>13</v>
      </c>
      <c r="B1" s="211"/>
      <c r="C1" s="211"/>
      <c r="D1" s="212"/>
      <c r="E1" s="212"/>
      <c r="F1" s="212"/>
      <c r="G1" s="212"/>
      <c r="H1" s="212"/>
      <c r="I1" s="212"/>
      <c r="J1" s="212"/>
      <c r="K1" s="212"/>
      <c r="L1" s="213" t="s">
        <v>14</v>
      </c>
      <c r="M1" s="286">
        <v>44835</v>
      </c>
      <c r="N1" s="287"/>
      <c r="O1" s="288"/>
      <c r="P1" s="288"/>
      <c r="AC1" s="27" t="s">
        <v>15</v>
      </c>
      <c r="AD1" s="27">
        <v>8.01</v>
      </c>
    </row>
    <row r="2" spans="1:30" s="36" customFormat="1" ht="12" x14ac:dyDescent="0.2">
      <c r="A2" s="174" t="s">
        <v>16</v>
      </c>
      <c r="B2" s="168">
        <v>1</v>
      </c>
      <c r="C2" s="169"/>
      <c r="D2" s="170"/>
      <c r="E2" s="170"/>
      <c r="F2" s="170"/>
      <c r="G2" s="170"/>
      <c r="H2" s="165"/>
      <c r="I2" s="165"/>
      <c r="J2" s="171" t="s">
        <v>17</v>
      </c>
      <c r="K2" s="170"/>
      <c r="L2" s="170"/>
      <c r="M2" s="170"/>
      <c r="N2" s="170"/>
      <c r="O2" s="170"/>
      <c r="P2" s="170"/>
    </row>
    <row r="3" spans="1:30" s="36" customFormat="1" ht="12" x14ac:dyDescent="0.2">
      <c r="A3" s="174" t="s">
        <v>18</v>
      </c>
      <c r="B3" s="170">
        <f>B4/B2</f>
        <v>2</v>
      </c>
      <c r="C3" s="170"/>
      <c r="D3" s="165"/>
      <c r="E3" s="165"/>
      <c r="F3" s="165"/>
      <c r="G3" s="165"/>
      <c r="H3" s="165"/>
      <c r="I3" s="165"/>
      <c r="J3" s="200" t="s">
        <v>3</v>
      </c>
      <c r="K3" s="170"/>
      <c r="L3" s="170"/>
      <c r="M3" s="170"/>
      <c r="N3" s="170"/>
      <c r="O3" s="170"/>
      <c r="P3" s="170"/>
    </row>
    <row r="4" spans="1:30" s="36" customFormat="1" x14ac:dyDescent="0.2">
      <c r="A4" s="174" t="s">
        <v>19</v>
      </c>
      <c r="B4" s="168">
        <v>2</v>
      </c>
      <c r="C4" s="170"/>
      <c r="D4" s="170"/>
      <c r="E4" s="170"/>
      <c r="F4" s="170"/>
      <c r="G4" s="170"/>
      <c r="H4" s="165"/>
      <c r="I4" s="165"/>
      <c r="J4" s="165"/>
      <c r="K4" s="170"/>
      <c r="L4" s="170"/>
      <c r="M4" s="170"/>
      <c r="N4" s="170"/>
      <c r="O4" s="170"/>
      <c r="P4" s="170"/>
    </row>
    <row r="5" spans="1:30" s="36" customFormat="1" x14ac:dyDescent="0.2">
      <c r="A5" s="174" t="s">
        <v>20</v>
      </c>
      <c r="B5" s="170">
        <v>2</v>
      </c>
      <c r="C5" s="172"/>
      <c r="D5" s="170"/>
      <c r="E5" s="170"/>
      <c r="F5" s="170"/>
      <c r="G5" s="170"/>
      <c r="H5" s="165"/>
      <c r="I5" s="165"/>
      <c r="J5" s="165"/>
      <c r="K5" s="170"/>
      <c r="L5" s="170"/>
      <c r="M5" s="170"/>
      <c r="N5" s="170"/>
      <c r="O5" s="170"/>
      <c r="P5" s="170"/>
    </row>
    <row r="6" spans="1:30" s="36" customFormat="1" x14ac:dyDescent="0.2">
      <c r="A6" s="214" t="s">
        <v>21</v>
      </c>
      <c r="B6" s="170">
        <v>7.3</v>
      </c>
      <c r="C6" s="172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</row>
    <row r="7" spans="1:30" s="36" customFormat="1" x14ac:dyDescent="0.2">
      <c r="A7" s="174" t="s">
        <v>22</v>
      </c>
      <c r="B7" s="170">
        <f>B6*B4</f>
        <v>14.6</v>
      </c>
      <c r="C7" s="165"/>
      <c r="D7" s="170"/>
      <c r="E7" s="170"/>
      <c r="F7" s="170"/>
      <c r="G7" s="170"/>
      <c r="H7" s="170"/>
      <c r="I7" s="170"/>
      <c r="J7" s="170"/>
      <c r="K7" s="165"/>
      <c r="L7" s="170"/>
      <c r="M7" s="170"/>
      <c r="N7" s="170"/>
      <c r="O7" s="170"/>
      <c r="P7" s="170"/>
    </row>
    <row r="8" spans="1:30" s="36" customFormat="1" x14ac:dyDescent="0.2">
      <c r="A8" s="174" t="s">
        <v>23</v>
      </c>
      <c r="B8" s="170">
        <f>B7/B5</f>
        <v>7.3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</row>
    <row r="9" spans="1:30" s="36" customFormat="1" x14ac:dyDescent="0.2">
      <c r="A9" s="174" t="s">
        <v>24</v>
      </c>
      <c r="B9" s="170">
        <f>B4*C9</f>
        <v>0</v>
      </c>
      <c r="C9" s="170">
        <v>0</v>
      </c>
      <c r="D9" s="173"/>
      <c r="E9" s="173"/>
      <c r="F9" s="173"/>
      <c r="G9" s="173"/>
      <c r="H9" s="174" t="s">
        <v>25</v>
      </c>
      <c r="I9" s="174"/>
      <c r="J9" s="173">
        <v>0.4</v>
      </c>
      <c r="K9" s="173"/>
      <c r="L9" s="173"/>
      <c r="M9" s="173"/>
      <c r="N9" s="173"/>
      <c r="O9" s="173"/>
      <c r="P9" s="173"/>
      <c r="Q9" s="72"/>
      <c r="R9" s="72"/>
      <c r="S9" s="72"/>
    </row>
    <row r="10" spans="1:30" s="36" customFormat="1" x14ac:dyDescent="0.2">
      <c r="A10" s="174" t="s">
        <v>26</v>
      </c>
      <c r="B10" s="170">
        <f>B4*C10</f>
        <v>40</v>
      </c>
      <c r="C10" s="170">
        <v>20</v>
      </c>
      <c r="D10" s="165"/>
      <c r="E10" s="165"/>
      <c r="F10" s="165"/>
      <c r="G10" s="165"/>
      <c r="H10" s="174" t="s">
        <v>27</v>
      </c>
      <c r="I10" s="174"/>
      <c r="J10" s="240">
        <v>0.69499999999999995</v>
      </c>
      <c r="K10" s="165"/>
      <c r="L10" s="165"/>
      <c r="M10" s="165"/>
      <c r="N10" s="165"/>
      <c r="O10" s="165"/>
      <c r="P10" s="165"/>
    </row>
    <row r="11" spans="1:30" s="36" customFormat="1" x14ac:dyDescent="0.2">
      <c r="A11" s="215" t="s">
        <v>28</v>
      </c>
      <c r="B11" s="175">
        <f>C11*B4</f>
        <v>0</v>
      </c>
      <c r="C11" s="176">
        <v>0</v>
      </c>
      <c r="D11" s="177" t="s">
        <v>29</v>
      </c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</row>
    <row r="12" spans="1:30" s="36" customFormat="1" x14ac:dyDescent="0.2">
      <c r="A12" s="165"/>
      <c r="B12" s="165"/>
      <c r="C12" s="178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</row>
    <row r="13" spans="1:30" s="33" customFormat="1" ht="59.25" x14ac:dyDescent="0.2">
      <c r="A13" s="216" t="s">
        <v>30</v>
      </c>
      <c r="B13" s="179" t="s">
        <v>31</v>
      </c>
      <c r="C13" s="179" t="s">
        <v>32</v>
      </c>
      <c r="D13" s="179" t="s">
        <v>32</v>
      </c>
      <c r="E13" s="179" t="s">
        <v>33</v>
      </c>
      <c r="F13" s="179" t="s">
        <v>33</v>
      </c>
      <c r="G13" s="179" t="s">
        <v>34</v>
      </c>
      <c r="H13" s="179" t="s">
        <v>34</v>
      </c>
      <c r="I13" s="179" t="s">
        <v>34</v>
      </c>
      <c r="J13" s="179" t="s">
        <v>34</v>
      </c>
      <c r="K13" s="179" t="s">
        <v>34</v>
      </c>
      <c r="L13" s="179" t="s">
        <v>34</v>
      </c>
      <c r="M13" s="217"/>
      <c r="N13" s="217"/>
      <c r="O13" s="217"/>
      <c r="P13" s="217"/>
    </row>
    <row r="14" spans="1:30" s="33" customFormat="1" ht="12" x14ac:dyDescent="0.2">
      <c r="A14" s="216" t="s">
        <v>35</v>
      </c>
      <c r="B14" s="167" t="s">
        <v>36</v>
      </c>
      <c r="C14" s="167" t="s">
        <v>37</v>
      </c>
      <c r="D14" s="167" t="s">
        <v>38</v>
      </c>
      <c r="E14" s="167" t="s">
        <v>39</v>
      </c>
      <c r="F14" s="167" t="s">
        <v>40</v>
      </c>
      <c r="G14" s="167" t="s">
        <v>41</v>
      </c>
      <c r="H14" s="167" t="s">
        <v>42</v>
      </c>
      <c r="I14" s="167" t="s">
        <v>43</v>
      </c>
      <c r="J14" s="167" t="s">
        <v>44</v>
      </c>
      <c r="K14" s="167" t="s">
        <v>45</v>
      </c>
      <c r="L14" s="167" t="s">
        <v>46</v>
      </c>
      <c r="M14" s="218">
        <v>1</v>
      </c>
      <c r="N14" s="217"/>
      <c r="O14" s="217"/>
      <c r="P14" s="217"/>
    </row>
    <row r="15" spans="1:30" s="33" customFormat="1" ht="12" x14ac:dyDescent="0.2">
      <c r="A15" s="216" t="s">
        <v>47</v>
      </c>
      <c r="B15" s="167">
        <v>1</v>
      </c>
      <c r="C15" s="167">
        <v>11</v>
      </c>
      <c r="D15" s="167">
        <v>12</v>
      </c>
      <c r="E15" s="167">
        <v>13</v>
      </c>
      <c r="F15" s="167">
        <v>14</v>
      </c>
      <c r="G15" s="167">
        <v>15</v>
      </c>
      <c r="H15" s="167">
        <v>16</v>
      </c>
      <c r="I15" s="167">
        <v>17</v>
      </c>
      <c r="J15" s="167">
        <v>18</v>
      </c>
      <c r="K15" s="167">
        <v>19</v>
      </c>
      <c r="L15" s="167">
        <v>20</v>
      </c>
      <c r="M15" s="218">
        <v>2</v>
      </c>
      <c r="N15" s="217"/>
      <c r="O15" s="217"/>
      <c r="P15" s="217"/>
    </row>
    <row r="16" spans="1:30" s="30" customFormat="1" ht="15" customHeight="1" x14ac:dyDescent="0.2">
      <c r="A16" s="216" t="s">
        <v>48</v>
      </c>
      <c r="B16" s="167" t="s">
        <v>49</v>
      </c>
      <c r="C16" s="167" t="s">
        <v>49</v>
      </c>
      <c r="D16" s="274" t="s">
        <v>50</v>
      </c>
      <c r="E16" s="167" t="s">
        <v>51</v>
      </c>
      <c r="F16" s="275" t="s">
        <v>52</v>
      </c>
      <c r="G16" s="289" t="s">
        <v>53</v>
      </c>
      <c r="H16" s="290"/>
      <c r="I16" s="290"/>
      <c r="J16" s="290"/>
      <c r="K16" s="290"/>
      <c r="L16" s="291"/>
      <c r="M16" s="218">
        <v>3</v>
      </c>
      <c r="N16" s="219"/>
      <c r="O16" s="219"/>
      <c r="P16" s="219"/>
    </row>
    <row r="17" spans="1:19" ht="12.75" x14ac:dyDescent="0.2">
      <c r="A17" s="220" t="s">
        <v>54</v>
      </c>
      <c r="B17" s="180"/>
      <c r="C17" s="181"/>
      <c r="D17" s="181"/>
      <c r="E17" s="181"/>
      <c r="F17" s="181"/>
      <c r="G17" s="181"/>
      <c r="H17" s="181"/>
      <c r="I17" s="181"/>
      <c r="J17" s="181"/>
      <c r="K17" s="181"/>
      <c r="L17" s="221"/>
      <c r="M17" s="218">
        <v>4</v>
      </c>
      <c r="N17" s="222"/>
      <c r="O17" s="222"/>
      <c r="P17" s="165"/>
      <c r="Q17" s="38"/>
      <c r="R17" s="38"/>
      <c r="S17" s="38"/>
    </row>
    <row r="18" spans="1:19" ht="12" x14ac:dyDescent="0.2">
      <c r="A18" s="223" t="s">
        <v>55</v>
      </c>
      <c r="B18" s="182">
        <f t="shared" ref="B18" si="0">MIN(B67,80)</f>
        <v>0</v>
      </c>
      <c r="C18" s="182">
        <f t="shared" ref="C18:L18" si="1">MIN(C67,80)</f>
        <v>48.761849883919723</v>
      </c>
      <c r="D18" s="182">
        <f t="shared" si="1"/>
        <v>58.761849883919723</v>
      </c>
      <c r="E18" s="182">
        <f t="shared" si="1"/>
        <v>58.761849883919723</v>
      </c>
      <c r="F18" s="182">
        <f t="shared" si="1"/>
        <v>80</v>
      </c>
      <c r="G18" s="182">
        <f t="shared" si="1"/>
        <v>80</v>
      </c>
      <c r="H18" s="182">
        <f t="shared" si="1"/>
        <v>80</v>
      </c>
      <c r="I18" s="182">
        <f t="shared" si="1"/>
        <v>80</v>
      </c>
      <c r="J18" s="182">
        <f t="shared" si="1"/>
        <v>80</v>
      </c>
      <c r="K18" s="182">
        <f t="shared" si="1"/>
        <v>80</v>
      </c>
      <c r="L18" s="182">
        <f t="shared" si="1"/>
        <v>80</v>
      </c>
      <c r="M18" s="218">
        <v>5</v>
      </c>
      <c r="N18" s="224"/>
      <c r="O18" s="222"/>
      <c r="P18" s="165"/>
      <c r="Q18" s="38"/>
      <c r="R18" s="38"/>
      <c r="S18" s="38"/>
    </row>
    <row r="19" spans="1:19" ht="12" x14ac:dyDescent="0.2">
      <c r="A19" s="225" t="s">
        <v>56</v>
      </c>
      <c r="B19" s="183">
        <v>0.4</v>
      </c>
      <c r="C19" s="196">
        <v>0.55000000000000004</v>
      </c>
      <c r="D19" s="183">
        <v>0.65</v>
      </c>
      <c r="E19" s="183">
        <v>0.75</v>
      </c>
      <c r="F19" s="183">
        <v>0.8</v>
      </c>
      <c r="G19" s="183">
        <v>0.8</v>
      </c>
      <c r="H19" s="183">
        <v>0.8</v>
      </c>
      <c r="I19" s="183">
        <v>0.8</v>
      </c>
      <c r="J19" s="183">
        <v>0.8</v>
      </c>
      <c r="K19" s="183">
        <v>0.8</v>
      </c>
      <c r="L19" s="183">
        <v>0.7</v>
      </c>
      <c r="M19" s="218">
        <v>6</v>
      </c>
      <c r="N19" s="226"/>
      <c r="O19" s="222"/>
      <c r="P19" s="165"/>
      <c r="Q19" s="38"/>
      <c r="R19" s="38"/>
      <c r="S19" s="38"/>
    </row>
    <row r="20" spans="1:19" ht="12" x14ac:dyDescent="0.2">
      <c r="A20" s="227" t="s">
        <v>57</v>
      </c>
      <c r="B20" s="184"/>
      <c r="C20" s="185"/>
      <c r="D20" s="185"/>
      <c r="E20" s="185"/>
      <c r="F20" s="185"/>
      <c r="G20" s="185"/>
      <c r="H20" s="185"/>
      <c r="I20" s="185"/>
      <c r="J20" s="185"/>
      <c r="K20" s="185"/>
      <c r="L20" s="228"/>
      <c r="M20" s="218">
        <v>7</v>
      </c>
      <c r="N20" s="226"/>
      <c r="O20" s="222"/>
      <c r="P20" s="165"/>
      <c r="Q20" s="38"/>
      <c r="R20" s="38"/>
      <c r="S20" s="38"/>
    </row>
    <row r="21" spans="1:19" ht="12" x14ac:dyDescent="0.2">
      <c r="A21" s="225" t="s">
        <v>58</v>
      </c>
      <c r="B21" s="186">
        <f t="shared" ref="B21:L22" si="2">B20*$B$5</f>
        <v>0</v>
      </c>
      <c r="C21" s="186">
        <f t="shared" ref="C21:L21" si="3">IF(C35=0,0,C19*$B$8)</f>
        <v>4.0150000000000006</v>
      </c>
      <c r="D21" s="186">
        <f t="shared" si="3"/>
        <v>4.7450000000000001</v>
      </c>
      <c r="E21" s="186">
        <f t="shared" si="3"/>
        <v>5.4749999999999996</v>
      </c>
      <c r="F21" s="186">
        <f t="shared" si="3"/>
        <v>5.84</v>
      </c>
      <c r="G21" s="186">
        <f t="shared" si="3"/>
        <v>5.84</v>
      </c>
      <c r="H21" s="186">
        <f t="shared" si="3"/>
        <v>5.84</v>
      </c>
      <c r="I21" s="186">
        <f t="shared" si="3"/>
        <v>5.84</v>
      </c>
      <c r="J21" s="186">
        <f t="shared" si="3"/>
        <v>5.84</v>
      </c>
      <c r="K21" s="186">
        <f t="shared" si="3"/>
        <v>5.84</v>
      </c>
      <c r="L21" s="186">
        <f t="shared" si="3"/>
        <v>5.1099999999999994</v>
      </c>
      <c r="M21" s="218">
        <v>8</v>
      </c>
      <c r="N21" s="226"/>
      <c r="O21" s="222"/>
      <c r="P21" s="165"/>
      <c r="Q21" s="38"/>
      <c r="R21" s="38"/>
      <c r="S21" s="38"/>
    </row>
    <row r="22" spans="1:19" ht="12" x14ac:dyDescent="0.2">
      <c r="A22" s="225" t="s">
        <v>59</v>
      </c>
      <c r="B22" s="186">
        <f t="shared" si="2"/>
        <v>0</v>
      </c>
      <c r="C22" s="186">
        <f t="shared" si="2"/>
        <v>8.0300000000000011</v>
      </c>
      <c r="D22" s="186">
        <f t="shared" si="2"/>
        <v>9.49</v>
      </c>
      <c r="E22" s="186">
        <f t="shared" si="2"/>
        <v>10.95</v>
      </c>
      <c r="F22" s="186">
        <f t="shared" si="2"/>
        <v>11.68</v>
      </c>
      <c r="G22" s="186">
        <f t="shared" si="2"/>
        <v>11.68</v>
      </c>
      <c r="H22" s="186">
        <f t="shared" si="2"/>
        <v>11.68</v>
      </c>
      <c r="I22" s="186">
        <f t="shared" si="2"/>
        <v>11.68</v>
      </c>
      <c r="J22" s="186">
        <f t="shared" si="2"/>
        <v>11.68</v>
      </c>
      <c r="K22" s="186">
        <f t="shared" si="2"/>
        <v>11.68</v>
      </c>
      <c r="L22" s="186">
        <f t="shared" si="2"/>
        <v>10.219999999999999</v>
      </c>
      <c r="M22" s="218">
        <v>9</v>
      </c>
      <c r="N22" s="226"/>
      <c r="O22" s="222"/>
      <c r="P22" s="165"/>
      <c r="Q22" s="38"/>
      <c r="R22" s="38"/>
      <c r="S22" s="38"/>
    </row>
    <row r="23" spans="1:19" ht="12" x14ac:dyDescent="0.2">
      <c r="A23" s="225" t="s">
        <v>60</v>
      </c>
      <c r="B23" s="186">
        <f t="shared" ref="B23:L23" si="4">$B$9</f>
        <v>0</v>
      </c>
      <c r="C23" s="186">
        <f t="shared" si="4"/>
        <v>0</v>
      </c>
      <c r="D23" s="186">
        <f t="shared" si="4"/>
        <v>0</v>
      </c>
      <c r="E23" s="186">
        <f t="shared" si="4"/>
        <v>0</v>
      </c>
      <c r="F23" s="186">
        <f t="shared" si="4"/>
        <v>0</v>
      </c>
      <c r="G23" s="186">
        <f t="shared" si="4"/>
        <v>0</v>
      </c>
      <c r="H23" s="186">
        <f t="shared" si="4"/>
        <v>0</v>
      </c>
      <c r="I23" s="186">
        <f t="shared" si="4"/>
        <v>0</v>
      </c>
      <c r="J23" s="186">
        <f t="shared" si="4"/>
        <v>0</v>
      </c>
      <c r="K23" s="186">
        <f t="shared" si="4"/>
        <v>0</v>
      </c>
      <c r="L23" s="186">
        <f t="shared" si="4"/>
        <v>0</v>
      </c>
      <c r="M23" s="218">
        <v>10</v>
      </c>
      <c r="N23" s="222"/>
      <c r="O23" s="222"/>
      <c r="P23" s="165"/>
      <c r="Q23" s="38"/>
      <c r="R23" s="38"/>
      <c r="S23" s="38"/>
    </row>
    <row r="24" spans="1:19" ht="12" x14ac:dyDescent="0.2">
      <c r="A24" s="225" t="s">
        <v>61</v>
      </c>
      <c r="B24" s="186">
        <f t="shared" ref="B24:L24" si="5">IF(ISBLANK(B87),0,$B$10)</f>
        <v>0</v>
      </c>
      <c r="C24" s="186">
        <f t="shared" si="5"/>
        <v>0</v>
      </c>
      <c r="D24" s="186">
        <f t="shared" si="5"/>
        <v>0</v>
      </c>
      <c r="E24" s="186">
        <f t="shared" si="5"/>
        <v>0</v>
      </c>
      <c r="F24" s="186">
        <f t="shared" si="5"/>
        <v>0</v>
      </c>
      <c r="G24" s="186">
        <f t="shared" si="5"/>
        <v>40</v>
      </c>
      <c r="H24" s="186">
        <f t="shared" si="5"/>
        <v>40</v>
      </c>
      <c r="I24" s="186">
        <f t="shared" si="5"/>
        <v>40</v>
      </c>
      <c r="J24" s="186">
        <f t="shared" si="5"/>
        <v>40</v>
      </c>
      <c r="K24" s="186">
        <f t="shared" si="5"/>
        <v>40</v>
      </c>
      <c r="L24" s="186">
        <f t="shared" si="5"/>
        <v>40</v>
      </c>
      <c r="M24" s="218">
        <v>11</v>
      </c>
      <c r="N24" s="226"/>
      <c r="O24" s="222"/>
      <c r="P24" s="165"/>
      <c r="Q24" s="38"/>
      <c r="R24" s="38"/>
      <c r="S24" s="38"/>
    </row>
    <row r="25" spans="1:19" ht="12" x14ac:dyDescent="0.2">
      <c r="A25" s="225" t="s">
        <v>62</v>
      </c>
      <c r="B25" s="186">
        <f t="shared" ref="B25:L25" si="6">B21*$B$5+SUM(B23,B24)</f>
        <v>0</v>
      </c>
      <c r="C25" s="186">
        <f t="shared" si="6"/>
        <v>8.0300000000000011</v>
      </c>
      <c r="D25" s="186">
        <f t="shared" si="6"/>
        <v>9.49</v>
      </c>
      <c r="E25" s="186">
        <f t="shared" si="6"/>
        <v>10.95</v>
      </c>
      <c r="F25" s="186">
        <f t="shared" si="6"/>
        <v>11.68</v>
      </c>
      <c r="G25" s="186">
        <f t="shared" si="6"/>
        <v>51.68</v>
      </c>
      <c r="H25" s="186">
        <f t="shared" si="6"/>
        <v>51.68</v>
      </c>
      <c r="I25" s="186">
        <f t="shared" si="6"/>
        <v>51.68</v>
      </c>
      <c r="J25" s="186">
        <f t="shared" si="6"/>
        <v>51.68</v>
      </c>
      <c r="K25" s="186">
        <f t="shared" si="6"/>
        <v>51.68</v>
      </c>
      <c r="L25" s="186">
        <f t="shared" si="6"/>
        <v>50.22</v>
      </c>
      <c r="M25" s="218">
        <v>12</v>
      </c>
      <c r="N25" s="226"/>
      <c r="O25" s="222"/>
      <c r="P25" s="165"/>
      <c r="Q25" s="38"/>
      <c r="R25" s="38"/>
      <c r="S25" s="38"/>
    </row>
    <row r="26" spans="1:19" ht="12" x14ac:dyDescent="0.2">
      <c r="A26" s="229" t="s">
        <v>63</v>
      </c>
      <c r="B26" s="186">
        <v>19.600000000000001</v>
      </c>
      <c r="C26" s="186">
        <v>20.399999999999999</v>
      </c>
      <c r="D26" s="186">
        <v>23.5</v>
      </c>
      <c r="E26" s="186">
        <v>23.5</v>
      </c>
      <c r="F26" s="186">
        <v>23.5</v>
      </c>
      <c r="G26" s="186"/>
      <c r="H26" s="186"/>
      <c r="I26" s="186">
        <f>IF(I22=0,I19*$B$8*$B$5,-IF(ISBLANK(I86),0,MIN(I$22*$J$10,I$22-$B$7*$J$9)))</f>
        <v>0</v>
      </c>
      <c r="J26" s="186">
        <f>IF(J22=0,J19*$B$8*$B$5,-IF(ISBLANK(J86),0,MIN(J$22*$J$10,J$22-$B$7*$J$9)))</f>
        <v>0</v>
      </c>
      <c r="K26" s="186">
        <f>IF(K22=0,K19*$B$8*$B$5,-IF(ISBLANK(K86),0,MIN(K$22*$J$10,K$22-$B$7*$J$9)))</f>
        <v>0</v>
      </c>
      <c r="L26" s="186">
        <f>IF(L22=0,L19*$B$8*$B$5,-IF(ISBLANK(L86),0,MIN(L$22*$J$10,L$22-$B$7*$J$9)))</f>
        <v>0</v>
      </c>
      <c r="M26" s="218">
        <v>13</v>
      </c>
      <c r="N26" s="226"/>
      <c r="O26" s="222"/>
      <c r="P26" s="165"/>
      <c r="Q26" s="38"/>
      <c r="R26" s="38"/>
      <c r="S26" s="38"/>
    </row>
    <row r="27" spans="1:19" ht="12" x14ac:dyDescent="0.2">
      <c r="A27" s="225" t="s">
        <v>64</v>
      </c>
      <c r="B27" s="186">
        <f t="shared" ref="B27:L27" si="7">IF(B26&gt;0,0,SUM(B25:B26))</f>
        <v>0</v>
      </c>
      <c r="C27" s="186">
        <f t="shared" si="7"/>
        <v>0</v>
      </c>
      <c r="D27" s="186">
        <f t="shared" si="7"/>
        <v>0</v>
      </c>
      <c r="E27" s="186">
        <f t="shared" si="7"/>
        <v>0</v>
      </c>
      <c r="F27" s="186">
        <f t="shared" si="7"/>
        <v>0</v>
      </c>
      <c r="G27" s="186">
        <f t="shared" si="7"/>
        <v>51.68</v>
      </c>
      <c r="H27" s="186">
        <f t="shared" si="7"/>
        <v>51.68</v>
      </c>
      <c r="I27" s="186">
        <f t="shared" si="7"/>
        <v>51.68</v>
      </c>
      <c r="J27" s="186">
        <f t="shared" si="7"/>
        <v>51.68</v>
      </c>
      <c r="K27" s="186">
        <f t="shared" si="7"/>
        <v>51.68</v>
      </c>
      <c r="L27" s="186">
        <f t="shared" si="7"/>
        <v>50.22</v>
      </c>
      <c r="M27" s="218">
        <v>14</v>
      </c>
      <c r="N27" s="226"/>
      <c r="O27" s="222"/>
      <c r="P27" s="165"/>
      <c r="Q27" s="38"/>
      <c r="R27" s="38"/>
      <c r="S27" s="38"/>
    </row>
    <row r="28" spans="1:19" ht="12" x14ac:dyDescent="0.2">
      <c r="A28" s="229" t="s">
        <v>65</v>
      </c>
      <c r="B28" s="186">
        <f>AVERAGE(K25:L25,B25)</f>
        <v>33.966666666666669</v>
      </c>
      <c r="C28" s="186">
        <f>AVERAGE(C25:C25)</f>
        <v>8.0300000000000011</v>
      </c>
      <c r="D28" s="186">
        <f>AVERAGE(C25:D25)</f>
        <v>8.7600000000000016</v>
      </c>
      <c r="E28" s="186">
        <f>AVERAGE(C25:E25)</f>
        <v>9.49</v>
      </c>
      <c r="F28" s="186">
        <f>AVERAGE(C25:F25)</f>
        <v>10.037500000000001</v>
      </c>
      <c r="G28" s="186">
        <f>AVERAGE(G25:G25)</f>
        <v>51.68</v>
      </c>
      <c r="H28" s="186">
        <f>AVERAGE(G25:H25)</f>
        <v>51.68</v>
      </c>
      <c r="I28" s="186">
        <f>AVERAGE(G25:I25)</f>
        <v>51.68</v>
      </c>
      <c r="J28" s="186">
        <f>AVERAGE(H25:J25)</f>
        <v>51.68</v>
      </c>
      <c r="K28" s="186">
        <f>AVERAGE(I25:K25)</f>
        <v>51.68</v>
      </c>
      <c r="L28" s="186">
        <f>AVERAGE(J25:L25)</f>
        <v>51.193333333333328</v>
      </c>
      <c r="M28" s="218">
        <v>15</v>
      </c>
      <c r="N28" s="222"/>
      <c r="O28" s="222"/>
      <c r="P28" s="165"/>
      <c r="Q28" s="38"/>
      <c r="R28" s="38"/>
      <c r="S28" s="38"/>
    </row>
    <row r="29" spans="1:19" ht="12" x14ac:dyDescent="0.2">
      <c r="A29" s="77" t="s">
        <v>66</v>
      </c>
      <c r="B29" s="187"/>
      <c r="C29" s="188"/>
      <c r="D29" s="188"/>
      <c r="E29" s="188"/>
      <c r="F29" s="188"/>
      <c r="G29" s="73"/>
      <c r="H29" s="73"/>
      <c r="I29" s="73"/>
      <c r="J29" s="73"/>
      <c r="K29" s="73"/>
      <c r="L29" s="74"/>
      <c r="M29" s="218">
        <v>16</v>
      </c>
      <c r="N29" s="41"/>
      <c r="O29" s="37"/>
      <c r="Q29" s="38"/>
      <c r="R29" s="38"/>
      <c r="S29" s="38"/>
    </row>
    <row r="30" spans="1:19" ht="12" x14ac:dyDescent="0.2">
      <c r="A30" s="6" t="s">
        <v>67</v>
      </c>
      <c r="B30" s="189">
        <f t="shared" ref="B30:L30" si="8">IF(ISBLANK(B86),0,$B$11)</f>
        <v>0</v>
      </c>
      <c r="C30" s="189">
        <f t="shared" si="8"/>
        <v>0</v>
      </c>
      <c r="D30" s="189">
        <f t="shared" si="8"/>
        <v>0</v>
      </c>
      <c r="E30" s="189">
        <f t="shared" si="8"/>
        <v>0</v>
      </c>
      <c r="F30" s="189">
        <f t="shared" si="8"/>
        <v>0</v>
      </c>
      <c r="G30" s="79">
        <f t="shared" si="8"/>
        <v>0</v>
      </c>
      <c r="H30" s="79">
        <f t="shared" si="8"/>
        <v>0</v>
      </c>
      <c r="I30" s="79">
        <f t="shared" si="8"/>
        <v>0</v>
      </c>
      <c r="J30" s="79">
        <f t="shared" si="8"/>
        <v>0</v>
      </c>
      <c r="K30" s="79">
        <f t="shared" si="8"/>
        <v>0</v>
      </c>
      <c r="L30" s="79">
        <f t="shared" si="8"/>
        <v>0</v>
      </c>
      <c r="M30" s="218">
        <v>17</v>
      </c>
      <c r="N30" s="41"/>
      <c r="O30" s="37"/>
      <c r="Q30" s="38"/>
      <c r="R30" s="38"/>
      <c r="S30" s="38"/>
    </row>
    <row r="31" spans="1:19" s="48" customFormat="1" ht="12.75" x14ac:dyDescent="0.2">
      <c r="A31" s="56" t="s">
        <v>68</v>
      </c>
      <c r="B31" s="184"/>
      <c r="C31" s="185"/>
      <c r="D31" s="185"/>
      <c r="E31" s="185"/>
      <c r="F31" s="185"/>
      <c r="G31" s="43"/>
      <c r="H31" s="43"/>
      <c r="I31" s="43"/>
      <c r="J31" s="43"/>
      <c r="K31" s="43"/>
      <c r="L31" s="44"/>
      <c r="M31" s="218">
        <v>18</v>
      </c>
      <c r="N31" s="46"/>
      <c r="O31" s="47"/>
    </row>
    <row r="32" spans="1:19" s="48" customFormat="1" ht="12" x14ac:dyDescent="0.2">
      <c r="A32" s="142" t="s">
        <v>69</v>
      </c>
      <c r="B32" s="190">
        <v>0</v>
      </c>
      <c r="C32" s="190">
        <v>0.7</v>
      </c>
      <c r="D32" s="190">
        <v>0.8</v>
      </c>
      <c r="E32" s="190">
        <v>0.9</v>
      </c>
      <c r="F32" s="190">
        <v>1</v>
      </c>
      <c r="G32" s="190">
        <v>1</v>
      </c>
      <c r="H32" s="39">
        <v>1</v>
      </c>
      <c r="I32" s="39">
        <v>1</v>
      </c>
      <c r="J32" s="39">
        <v>1</v>
      </c>
      <c r="K32" s="39">
        <v>1</v>
      </c>
      <c r="L32" s="39">
        <v>1</v>
      </c>
      <c r="M32" s="218">
        <v>19</v>
      </c>
      <c r="N32" s="47"/>
      <c r="O32" s="47"/>
    </row>
    <row r="33" spans="1:19" s="48" customFormat="1" ht="12" x14ac:dyDescent="0.2">
      <c r="A33" s="142" t="s">
        <v>70</v>
      </c>
      <c r="B33" s="190">
        <f t="shared" ref="B33:L33" si="9">0.8*B32</f>
        <v>0</v>
      </c>
      <c r="C33" s="190">
        <f t="shared" si="9"/>
        <v>0.55999999999999994</v>
      </c>
      <c r="D33" s="190">
        <f t="shared" si="9"/>
        <v>0.64000000000000012</v>
      </c>
      <c r="E33" s="190">
        <f t="shared" si="9"/>
        <v>0.72000000000000008</v>
      </c>
      <c r="F33" s="190">
        <f t="shared" si="9"/>
        <v>0.8</v>
      </c>
      <c r="G33" s="39">
        <f t="shared" si="9"/>
        <v>0.8</v>
      </c>
      <c r="H33" s="39">
        <f t="shared" si="9"/>
        <v>0.8</v>
      </c>
      <c r="I33" s="39">
        <f t="shared" si="9"/>
        <v>0.8</v>
      </c>
      <c r="J33" s="39">
        <f t="shared" si="9"/>
        <v>0.8</v>
      </c>
      <c r="K33" s="39">
        <f t="shared" si="9"/>
        <v>0.8</v>
      </c>
      <c r="L33" s="39">
        <f t="shared" si="9"/>
        <v>0.8</v>
      </c>
      <c r="M33" s="218">
        <v>20</v>
      </c>
      <c r="N33" s="45"/>
      <c r="O33" s="45"/>
    </row>
    <row r="34" spans="1:19" s="48" customFormat="1" ht="12" x14ac:dyDescent="0.2">
      <c r="A34" s="142" t="s">
        <v>71</v>
      </c>
      <c r="B34" s="246">
        <f>((B36*$B$105)/$B$2)</f>
        <v>0</v>
      </c>
      <c r="C34" s="246">
        <f t="shared" ref="C34:L34" si="10">((C36*$B$105)/$B$2)</f>
        <v>0.37333333333333335</v>
      </c>
      <c r="D34" s="246">
        <f t="shared" si="10"/>
        <v>0.42666666666666664</v>
      </c>
      <c r="E34" s="246">
        <f t="shared" si="10"/>
        <v>0.48</v>
      </c>
      <c r="F34" s="246">
        <f t="shared" si="10"/>
        <v>0.53333333333333333</v>
      </c>
      <c r="G34" s="246">
        <f t="shared" si="10"/>
        <v>0.53333333333333333</v>
      </c>
      <c r="H34" s="246">
        <f t="shared" si="10"/>
        <v>0.53333333333333333</v>
      </c>
      <c r="I34" s="246">
        <f t="shared" si="10"/>
        <v>0.53333333333333333</v>
      </c>
      <c r="J34" s="246">
        <f t="shared" si="10"/>
        <v>0.53333333333333333</v>
      </c>
      <c r="K34" s="246">
        <f t="shared" si="10"/>
        <v>0.53333333333333333</v>
      </c>
      <c r="L34" s="246">
        <f t="shared" si="10"/>
        <v>0.53333333333333333</v>
      </c>
      <c r="M34" s="218">
        <v>21</v>
      </c>
      <c r="N34" s="45"/>
      <c r="O34" s="45"/>
    </row>
    <row r="35" spans="1:19" ht="12" x14ac:dyDescent="0.2">
      <c r="A35" s="50" t="s">
        <v>72</v>
      </c>
      <c r="B35" s="51">
        <f t="shared" ref="B35:L35" si="11">ROUND($B$2*B$32,2)</f>
        <v>0</v>
      </c>
      <c r="C35" s="51">
        <f t="shared" si="11"/>
        <v>0.7</v>
      </c>
      <c r="D35" s="51">
        <f t="shared" si="11"/>
        <v>0.8</v>
      </c>
      <c r="E35" s="51">
        <f t="shared" si="11"/>
        <v>0.9</v>
      </c>
      <c r="F35" s="51">
        <f t="shared" si="11"/>
        <v>1</v>
      </c>
      <c r="G35" s="51">
        <f t="shared" si="11"/>
        <v>1</v>
      </c>
      <c r="H35" s="51">
        <f t="shared" si="11"/>
        <v>1</v>
      </c>
      <c r="I35" s="51">
        <f t="shared" si="11"/>
        <v>1</v>
      </c>
      <c r="J35" s="51">
        <f t="shared" si="11"/>
        <v>1</v>
      </c>
      <c r="K35" s="51">
        <f t="shared" si="11"/>
        <v>1</v>
      </c>
      <c r="L35" s="51">
        <f t="shared" si="11"/>
        <v>1</v>
      </c>
      <c r="M35" s="218">
        <v>22</v>
      </c>
      <c r="N35" s="36"/>
      <c r="O35" s="36"/>
      <c r="Q35" s="38"/>
      <c r="R35" s="38"/>
      <c r="S35" s="38"/>
    </row>
    <row r="36" spans="1:19" s="36" customFormat="1" ht="12" x14ac:dyDescent="0.2">
      <c r="A36" s="5" t="s">
        <v>73</v>
      </c>
      <c r="B36" s="111">
        <f t="shared" ref="B36:L36" si="12">ROUND(MIN(3,$B$2*B$33),2)</f>
        <v>0</v>
      </c>
      <c r="C36" s="111">
        <f t="shared" si="12"/>
        <v>0.56000000000000005</v>
      </c>
      <c r="D36" s="111">
        <f t="shared" si="12"/>
        <v>0.64</v>
      </c>
      <c r="E36" s="111">
        <f t="shared" si="12"/>
        <v>0.72</v>
      </c>
      <c r="F36" s="111">
        <f t="shared" si="12"/>
        <v>0.8</v>
      </c>
      <c r="G36" s="111">
        <f t="shared" si="12"/>
        <v>0.8</v>
      </c>
      <c r="H36" s="111">
        <f t="shared" si="12"/>
        <v>0.8</v>
      </c>
      <c r="I36" s="111">
        <f t="shared" si="12"/>
        <v>0.8</v>
      </c>
      <c r="J36" s="111">
        <f t="shared" si="12"/>
        <v>0.8</v>
      </c>
      <c r="K36" s="111">
        <f t="shared" si="12"/>
        <v>0.8</v>
      </c>
      <c r="L36" s="111">
        <f t="shared" si="12"/>
        <v>0.8</v>
      </c>
      <c r="M36" s="218">
        <v>23</v>
      </c>
    </row>
    <row r="37" spans="1:19" s="36" customFormat="1" ht="12" x14ac:dyDescent="0.2">
      <c r="A37" s="242" t="s">
        <v>74</v>
      </c>
      <c r="B37" s="247">
        <f>B34*$B$2</f>
        <v>0</v>
      </c>
      <c r="C37" s="247">
        <f t="shared" ref="C37:L37" si="13">C34*$B$2</f>
        <v>0.37333333333333335</v>
      </c>
      <c r="D37" s="247">
        <f t="shared" si="13"/>
        <v>0.42666666666666664</v>
      </c>
      <c r="E37" s="247">
        <f t="shared" si="13"/>
        <v>0.48</v>
      </c>
      <c r="F37" s="247">
        <f t="shared" si="13"/>
        <v>0.53333333333333333</v>
      </c>
      <c r="G37" s="247">
        <f t="shared" si="13"/>
        <v>0.53333333333333333</v>
      </c>
      <c r="H37" s="247">
        <f t="shared" si="13"/>
        <v>0.53333333333333333</v>
      </c>
      <c r="I37" s="247">
        <f t="shared" si="13"/>
        <v>0.53333333333333333</v>
      </c>
      <c r="J37" s="247">
        <f t="shared" si="13"/>
        <v>0.53333333333333333</v>
      </c>
      <c r="K37" s="247">
        <f t="shared" si="13"/>
        <v>0.53333333333333333</v>
      </c>
      <c r="L37" s="247">
        <f t="shared" si="13"/>
        <v>0.53333333333333333</v>
      </c>
      <c r="M37" s="218">
        <v>24</v>
      </c>
    </row>
    <row r="38" spans="1:19" s="36" customFormat="1" ht="12" x14ac:dyDescent="0.2">
      <c r="A38" s="109" t="s">
        <v>75</v>
      </c>
      <c r="B38" s="112"/>
      <c r="C38" s="113"/>
      <c r="D38" s="113"/>
      <c r="E38" s="113"/>
      <c r="F38" s="113"/>
      <c r="G38" s="113"/>
      <c r="H38" s="113"/>
      <c r="I38" s="113"/>
      <c r="J38" s="113"/>
      <c r="K38" s="113"/>
      <c r="L38" s="114"/>
      <c r="M38" s="218">
        <v>25</v>
      </c>
    </row>
    <row r="39" spans="1:19" s="9" customFormat="1" ht="12.75" customHeight="1" x14ac:dyDescent="0.2">
      <c r="A39" s="164" t="s">
        <v>76</v>
      </c>
      <c r="B39" s="248">
        <f t="shared" ref="B39:L43" si="14">B$36*$B106</f>
        <v>0</v>
      </c>
      <c r="C39" s="248">
        <f t="shared" si="14"/>
        <v>0</v>
      </c>
      <c r="D39" s="248">
        <f t="shared" si="14"/>
        <v>0</v>
      </c>
      <c r="E39" s="248">
        <f t="shared" si="14"/>
        <v>0</v>
      </c>
      <c r="F39" s="248">
        <f t="shared" si="14"/>
        <v>0</v>
      </c>
      <c r="G39" s="248">
        <f t="shared" si="14"/>
        <v>0</v>
      </c>
      <c r="H39" s="248">
        <f t="shared" si="14"/>
        <v>0</v>
      </c>
      <c r="I39" s="248">
        <f t="shared" si="14"/>
        <v>0</v>
      </c>
      <c r="J39" s="248">
        <f t="shared" si="14"/>
        <v>0</v>
      </c>
      <c r="K39" s="248">
        <f t="shared" si="14"/>
        <v>0</v>
      </c>
      <c r="L39" s="248">
        <f t="shared" si="14"/>
        <v>0</v>
      </c>
      <c r="M39" s="218">
        <v>26</v>
      </c>
    </row>
    <row r="40" spans="1:19" s="9" customFormat="1" ht="12" x14ac:dyDescent="0.2">
      <c r="A40" s="162" t="s">
        <v>77</v>
      </c>
      <c r="B40" s="248">
        <f t="shared" si="14"/>
        <v>0</v>
      </c>
      <c r="C40" s="248">
        <f t="shared" si="14"/>
        <v>0</v>
      </c>
      <c r="D40" s="248">
        <f t="shared" si="14"/>
        <v>0</v>
      </c>
      <c r="E40" s="248">
        <f t="shared" si="14"/>
        <v>0</v>
      </c>
      <c r="F40" s="248">
        <f t="shared" si="14"/>
        <v>0</v>
      </c>
      <c r="G40" s="248">
        <f t="shared" si="14"/>
        <v>0</v>
      </c>
      <c r="H40" s="248">
        <f t="shared" si="14"/>
        <v>0</v>
      </c>
      <c r="I40" s="248">
        <f t="shared" si="14"/>
        <v>0</v>
      </c>
      <c r="J40" s="248">
        <f t="shared" si="14"/>
        <v>0</v>
      </c>
      <c r="K40" s="248">
        <f t="shared" si="14"/>
        <v>0</v>
      </c>
      <c r="L40" s="248">
        <f t="shared" si="14"/>
        <v>0</v>
      </c>
      <c r="M40" s="218">
        <v>27</v>
      </c>
    </row>
    <row r="41" spans="1:19" s="9" customFormat="1" ht="12" x14ac:dyDescent="0.2">
      <c r="A41" s="162" t="s">
        <v>78</v>
      </c>
      <c r="B41" s="248">
        <f t="shared" si="14"/>
        <v>0</v>
      </c>
      <c r="C41" s="248">
        <f t="shared" si="14"/>
        <v>0.33042839297523702</v>
      </c>
      <c r="D41" s="248">
        <f t="shared" si="14"/>
        <v>0.37763244911455657</v>
      </c>
      <c r="E41" s="248">
        <f t="shared" si="14"/>
        <v>0.42483650525387612</v>
      </c>
      <c r="F41" s="248">
        <f t="shared" si="14"/>
        <v>0.47204056139319572</v>
      </c>
      <c r="G41" s="248">
        <f t="shared" si="14"/>
        <v>0.47204056139319572</v>
      </c>
      <c r="H41" s="248">
        <f t="shared" si="14"/>
        <v>0.47204056139319572</v>
      </c>
      <c r="I41" s="248">
        <f t="shared" si="14"/>
        <v>0.47204056139319572</v>
      </c>
      <c r="J41" s="248">
        <f t="shared" si="14"/>
        <v>0.47204056139319572</v>
      </c>
      <c r="K41" s="248">
        <f t="shared" si="14"/>
        <v>0.47204056139319572</v>
      </c>
      <c r="L41" s="248">
        <f t="shared" si="14"/>
        <v>0.47204056139319572</v>
      </c>
      <c r="M41" s="218">
        <v>28</v>
      </c>
    </row>
    <row r="42" spans="1:19" s="9" customFormat="1" ht="12" x14ac:dyDescent="0.2">
      <c r="A42" s="162" t="s">
        <v>79</v>
      </c>
      <c r="B42" s="248">
        <f t="shared" si="14"/>
        <v>0</v>
      </c>
      <c r="C42" s="248">
        <f t="shared" si="14"/>
        <v>0.22957160702476304</v>
      </c>
      <c r="D42" s="248">
        <f t="shared" si="14"/>
        <v>0.26236755088544345</v>
      </c>
      <c r="E42" s="248">
        <f t="shared" si="14"/>
        <v>0.29516349474612386</v>
      </c>
      <c r="F42" s="248">
        <f t="shared" si="14"/>
        <v>0.32795943860680432</v>
      </c>
      <c r="G42" s="248">
        <f t="shared" si="14"/>
        <v>0.32795943860680432</v>
      </c>
      <c r="H42" s="248">
        <f t="shared" si="14"/>
        <v>0.32795943860680432</v>
      </c>
      <c r="I42" s="248">
        <f t="shared" si="14"/>
        <v>0.32795943860680432</v>
      </c>
      <c r="J42" s="248">
        <f t="shared" si="14"/>
        <v>0.32795943860680432</v>
      </c>
      <c r="K42" s="248">
        <f t="shared" si="14"/>
        <v>0.32795943860680432</v>
      </c>
      <c r="L42" s="248">
        <f t="shared" si="14"/>
        <v>0.32795943860680432</v>
      </c>
      <c r="M42" s="218">
        <v>29</v>
      </c>
    </row>
    <row r="43" spans="1:19" s="9" customFormat="1" ht="12" x14ac:dyDescent="0.2">
      <c r="A43" s="162" t="s">
        <v>80</v>
      </c>
      <c r="B43" s="248">
        <f t="shared" si="14"/>
        <v>0</v>
      </c>
      <c r="C43" s="248">
        <f t="shared" si="14"/>
        <v>0</v>
      </c>
      <c r="D43" s="248">
        <f t="shared" si="14"/>
        <v>0</v>
      </c>
      <c r="E43" s="248">
        <f t="shared" si="14"/>
        <v>0</v>
      </c>
      <c r="F43" s="248">
        <f t="shared" si="14"/>
        <v>0</v>
      </c>
      <c r="G43" s="248">
        <f t="shared" si="14"/>
        <v>0</v>
      </c>
      <c r="H43" s="248">
        <f t="shared" si="14"/>
        <v>0</v>
      </c>
      <c r="I43" s="248">
        <f t="shared" si="14"/>
        <v>0</v>
      </c>
      <c r="J43" s="248">
        <f t="shared" si="14"/>
        <v>0</v>
      </c>
      <c r="K43" s="248">
        <f t="shared" si="14"/>
        <v>0</v>
      </c>
      <c r="L43" s="248">
        <f t="shared" si="14"/>
        <v>0</v>
      </c>
      <c r="M43" s="218">
        <v>30</v>
      </c>
    </row>
    <row r="44" spans="1:19" s="9" customFormat="1" ht="12" x14ac:dyDescent="0.2">
      <c r="A44" s="162" t="s">
        <v>81</v>
      </c>
      <c r="B44" s="248">
        <f>IF(B$13="Deploy",B$36,B$36*$B111)</f>
        <v>0</v>
      </c>
      <c r="C44" s="248">
        <f t="shared" ref="C44:L44" si="15">IF(C$13="Deploy",C$36,C$36*$B111)</f>
        <v>0.22957160702476304</v>
      </c>
      <c r="D44" s="248">
        <f t="shared" si="15"/>
        <v>0.26236755088544345</v>
      </c>
      <c r="E44" s="248">
        <f t="shared" si="15"/>
        <v>0.29516349474612386</v>
      </c>
      <c r="F44" s="248">
        <f t="shared" si="15"/>
        <v>0.32795943860680432</v>
      </c>
      <c r="G44" s="248">
        <f t="shared" si="15"/>
        <v>0.8</v>
      </c>
      <c r="H44" s="248">
        <f t="shared" si="15"/>
        <v>0.8</v>
      </c>
      <c r="I44" s="248">
        <f t="shared" si="15"/>
        <v>0.8</v>
      </c>
      <c r="J44" s="248">
        <f t="shared" si="15"/>
        <v>0.8</v>
      </c>
      <c r="K44" s="248">
        <f t="shared" si="15"/>
        <v>0.8</v>
      </c>
      <c r="L44" s="248">
        <f t="shared" si="15"/>
        <v>0.8</v>
      </c>
      <c r="M44" s="218">
        <v>31</v>
      </c>
    </row>
    <row r="45" spans="1:19" s="9" customFormat="1" ht="12.75" x14ac:dyDescent="0.2">
      <c r="A45" s="163" t="s">
        <v>82</v>
      </c>
      <c r="B45" s="248">
        <f>B$36*$B112</f>
        <v>0</v>
      </c>
      <c r="C45" s="248">
        <f t="shared" ref="C45:L45" si="16">C$36*$B112</f>
        <v>0.56000000000000005</v>
      </c>
      <c r="D45" s="248">
        <f t="shared" si="16"/>
        <v>0.64</v>
      </c>
      <c r="E45" s="248">
        <f t="shared" si="16"/>
        <v>0.72</v>
      </c>
      <c r="F45" s="248">
        <f t="shared" si="16"/>
        <v>0.8</v>
      </c>
      <c r="G45" s="248">
        <f t="shared" si="16"/>
        <v>0.8</v>
      </c>
      <c r="H45" s="248">
        <f t="shared" si="16"/>
        <v>0.8</v>
      </c>
      <c r="I45" s="248">
        <f t="shared" si="16"/>
        <v>0.8</v>
      </c>
      <c r="J45" s="248">
        <f t="shared" si="16"/>
        <v>0.8</v>
      </c>
      <c r="K45" s="248">
        <f t="shared" si="16"/>
        <v>0.8</v>
      </c>
      <c r="L45" s="248">
        <f t="shared" si="16"/>
        <v>0.8</v>
      </c>
      <c r="M45" s="218">
        <v>32</v>
      </c>
    </row>
    <row r="46" spans="1:19" s="9" customFormat="1" ht="12" x14ac:dyDescent="0.2">
      <c r="A46" s="109" t="s">
        <v>83</v>
      </c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4"/>
      <c r="M46" s="218">
        <v>33</v>
      </c>
    </row>
    <row r="47" spans="1:19" s="9" customFormat="1" ht="12" x14ac:dyDescent="0.2">
      <c r="A47" s="42" t="s">
        <v>84</v>
      </c>
      <c r="B47" s="55">
        <f t="shared" ref="B47:L47" si="17">B35</f>
        <v>0</v>
      </c>
      <c r="C47" s="55">
        <f t="shared" si="17"/>
        <v>0.7</v>
      </c>
      <c r="D47" s="55">
        <f t="shared" si="17"/>
        <v>0.8</v>
      </c>
      <c r="E47" s="55">
        <f t="shared" si="17"/>
        <v>0.9</v>
      </c>
      <c r="F47" s="55">
        <f t="shared" si="17"/>
        <v>1</v>
      </c>
      <c r="G47" s="55">
        <f t="shared" si="17"/>
        <v>1</v>
      </c>
      <c r="H47" s="55">
        <f t="shared" si="17"/>
        <v>1</v>
      </c>
      <c r="I47" s="55">
        <f t="shared" si="17"/>
        <v>1</v>
      </c>
      <c r="J47" s="55">
        <f t="shared" si="17"/>
        <v>1</v>
      </c>
      <c r="K47" s="55">
        <f t="shared" si="17"/>
        <v>1</v>
      </c>
      <c r="L47" s="55">
        <f t="shared" si="17"/>
        <v>1</v>
      </c>
      <c r="M47" s="218">
        <v>34</v>
      </c>
    </row>
    <row r="48" spans="1:19" s="9" customFormat="1" ht="12" x14ac:dyDescent="0.2">
      <c r="A48" s="42" t="s">
        <v>85</v>
      </c>
      <c r="B48" s="51">
        <f>IF(B36=0,0,ROUND(MIN(2,$C$2*B$33),2))</f>
        <v>0</v>
      </c>
      <c r="C48" s="51">
        <f t="shared" ref="C48:L48" si="18">IF(C36=0,0,ROUND(MIN(2,$B$2*C$33),2))</f>
        <v>0.56000000000000005</v>
      </c>
      <c r="D48" s="51">
        <f t="shared" si="18"/>
        <v>0.64</v>
      </c>
      <c r="E48" s="51">
        <f t="shared" si="18"/>
        <v>0.72</v>
      </c>
      <c r="F48" s="51">
        <f t="shared" si="18"/>
        <v>0.8</v>
      </c>
      <c r="G48" s="51">
        <f t="shared" si="18"/>
        <v>0.8</v>
      </c>
      <c r="H48" s="51">
        <f t="shared" si="18"/>
        <v>0.8</v>
      </c>
      <c r="I48" s="51">
        <f t="shared" si="18"/>
        <v>0.8</v>
      </c>
      <c r="J48" s="51">
        <f t="shared" si="18"/>
        <v>0.8</v>
      </c>
      <c r="K48" s="51">
        <f t="shared" si="18"/>
        <v>0.8</v>
      </c>
      <c r="L48" s="51">
        <f t="shared" si="18"/>
        <v>0.8</v>
      </c>
      <c r="M48" s="218">
        <v>35</v>
      </c>
    </row>
    <row r="49" spans="1:19" s="36" customFormat="1" ht="12.75" x14ac:dyDescent="0.2">
      <c r="A49" s="56" t="s">
        <v>86</v>
      </c>
      <c r="B49" s="273"/>
      <c r="C49" s="274"/>
      <c r="D49" s="274"/>
      <c r="E49" s="274"/>
      <c r="F49" s="274"/>
      <c r="G49" s="276"/>
      <c r="H49" s="276"/>
      <c r="I49" s="276"/>
      <c r="J49" s="276"/>
      <c r="K49" s="276"/>
      <c r="L49" s="277"/>
    </row>
    <row r="50" spans="1:19" s="36" customFormat="1" ht="12" x14ac:dyDescent="0.2">
      <c r="A50" s="50" t="str">
        <f t="shared" ref="A50:A57" si="19">A75</f>
        <v>AVO Assigned</v>
      </c>
      <c r="B50" s="191">
        <f t="shared" ref="B50:L50" si="20">$B$75</f>
        <v>4</v>
      </c>
      <c r="C50" s="191">
        <f t="shared" si="20"/>
        <v>4</v>
      </c>
      <c r="D50" s="191">
        <f t="shared" si="20"/>
        <v>4</v>
      </c>
      <c r="E50" s="191">
        <f t="shared" si="20"/>
        <v>4</v>
      </c>
      <c r="F50" s="191">
        <f t="shared" si="20"/>
        <v>4</v>
      </c>
      <c r="G50" s="57">
        <f t="shared" si="20"/>
        <v>4</v>
      </c>
      <c r="H50" s="57">
        <f t="shared" si="20"/>
        <v>4</v>
      </c>
      <c r="I50" s="57">
        <f t="shared" si="20"/>
        <v>4</v>
      </c>
      <c r="J50" s="57">
        <f t="shared" si="20"/>
        <v>4</v>
      </c>
      <c r="K50" s="57">
        <f t="shared" si="20"/>
        <v>4</v>
      </c>
      <c r="L50" s="57">
        <f t="shared" si="20"/>
        <v>4</v>
      </c>
    </row>
    <row r="51" spans="1:19" s="36" customFormat="1" ht="12" x14ac:dyDescent="0.2">
      <c r="A51" s="50" t="str">
        <f t="shared" si="19"/>
        <v>MPO Assigned</v>
      </c>
      <c r="B51" s="192">
        <f t="shared" ref="B51:L51" si="21">$B$76</f>
        <v>4</v>
      </c>
      <c r="C51" s="192">
        <f t="shared" si="21"/>
        <v>4</v>
      </c>
      <c r="D51" s="192">
        <f t="shared" si="21"/>
        <v>4</v>
      </c>
      <c r="E51" s="192">
        <f t="shared" si="21"/>
        <v>4</v>
      </c>
      <c r="F51" s="192">
        <f t="shared" si="21"/>
        <v>4</v>
      </c>
      <c r="G51" s="59">
        <f t="shared" si="21"/>
        <v>4</v>
      </c>
      <c r="H51" s="59">
        <f t="shared" si="21"/>
        <v>4</v>
      </c>
      <c r="I51" s="59">
        <f t="shared" si="21"/>
        <v>4</v>
      </c>
      <c r="J51" s="59">
        <f t="shared" si="21"/>
        <v>4</v>
      </c>
      <c r="K51" s="59">
        <f t="shared" si="21"/>
        <v>4</v>
      </c>
      <c r="L51" s="59">
        <f t="shared" si="21"/>
        <v>4</v>
      </c>
    </row>
    <row r="52" spans="1:19" s="36" customFormat="1" ht="12" x14ac:dyDescent="0.2">
      <c r="A52" s="50" t="str">
        <f t="shared" si="19"/>
        <v>≥ Level 3 AVO</v>
      </c>
      <c r="B52" s="166">
        <f t="shared" ref="B52:L52" si="22">ROUNDUP(IF(B$13="Deploy",MAX((B$69/100)*$B77,$B77),(B$69/100)*$B77),0)</f>
        <v>1</v>
      </c>
      <c r="C52" s="166">
        <f t="shared" si="22"/>
        <v>1</v>
      </c>
      <c r="D52" s="166">
        <f t="shared" si="22"/>
        <v>1</v>
      </c>
      <c r="E52" s="166">
        <f t="shared" si="22"/>
        <v>1</v>
      </c>
      <c r="F52" s="166">
        <f t="shared" si="22"/>
        <v>1</v>
      </c>
      <c r="G52" s="58">
        <f t="shared" si="22"/>
        <v>1</v>
      </c>
      <c r="H52" s="58">
        <f t="shared" si="22"/>
        <v>1</v>
      </c>
      <c r="I52" s="58">
        <f t="shared" si="22"/>
        <v>1</v>
      </c>
      <c r="J52" s="58">
        <f t="shared" si="22"/>
        <v>1</v>
      </c>
      <c r="K52" s="58">
        <f t="shared" si="22"/>
        <v>1</v>
      </c>
      <c r="L52" s="58">
        <f t="shared" si="22"/>
        <v>1</v>
      </c>
    </row>
    <row r="53" spans="1:19" s="36" customFormat="1" ht="12" x14ac:dyDescent="0.2">
      <c r="A53" s="50" t="str">
        <f t="shared" si="19"/>
        <v>≥ Level 3 MPO</v>
      </c>
      <c r="B53" s="166">
        <f t="shared" ref="B53:L53" si="23">ROUNDUP(IF(B$13="Deploy",MAX((B$69/100)*$B78,$B78),(B$69/100)*$B78),0)</f>
        <v>1</v>
      </c>
      <c r="C53" s="166">
        <f t="shared" si="23"/>
        <v>1</v>
      </c>
      <c r="D53" s="166">
        <f t="shared" si="23"/>
        <v>1</v>
      </c>
      <c r="E53" s="166">
        <f t="shared" si="23"/>
        <v>1</v>
      </c>
      <c r="F53" s="166">
        <f t="shared" si="23"/>
        <v>1</v>
      </c>
      <c r="G53" s="58">
        <f t="shared" si="23"/>
        <v>1</v>
      </c>
      <c r="H53" s="58">
        <f t="shared" si="23"/>
        <v>1</v>
      </c>
      <c r="I53" s="58">
        <f t="shared" si="23"/>
        <v>1</v>
      </c>
      <c r="J53" s="58">
        <f t="shared" si="23"/>
        <v>1</v>
      </c>
      <c r="K53" s="58">
        <f t="shared" si="23"/>
        <v>1</v>
      </c>
      <c r="L53" s="58">
        <f t="shared" si="23"/>
        <v>1</v>
      </c>
    </row>
    <row r="54" spans="1:19" s="36" customFormat="1" ht="12" x14ac:dyDescent="0.2">
      <c r="A54" s="50" t="str">
        <f t="shared" si="19"/>
        <v>≥ Level 2 AVO</v>
      </c>
      <c r="B54" s="166">
        <f t="shared" ref="B54:L54" si="24">ROUNDUP(IF(B$13="Deploy",MAX((B$69/100)*$B79,$B79),(B$69/100)*$B79),0)</f>
        <v>1</v>
      </c>
      <c r="C54" s="166">
        <f t="shared" si="24"/>
        <v>2</v>
      </c>
      <c r="D54" s="166">
        <f t="shared" si="24"/>
        <v>2</v>
      </c>
      <c r="E54" s="166">
        <f t="shared" si="24"/>
        <v>2</v>
      </c>
      <c r="F54" s="166">
        <f t="shared" si="24"/>
        <v>2</v>
      </c>
      <c r="G54" s="58">
        <f t="shared" si="24"/>
        <v>2</v>
      </c>
      <c r="H54" s="58">
        <f t="shared" si="24"/>
        <v>2</v>
      </c>
      <c r="I54" s="58">
        <f t="shared" si="24"/>
        <v>2</v>
      </c>
      <c r="J54" s="58">
        <f t="shared" si="24"/>
        <v>2</v>
      </c>
      <c r="K54" s="58">
        <f t="shared" si="24"/>
        <v>2</v>
      </c>
      <c r="L54" s="58">
        <f t="shared" si="24"/>
        <v>2</v>
      </c>
    </row>
    <row r="55" spans="1:19" s="36" customFormat="1" ht="12" x14ac:dyDescent="0.2">
      <c r="A55" s="50" t="str">
        <f t="shared" si="19"/>
        <v>≥ Level 2 MPO</v>
      </c>
      <c r="B55" s="166">
        <f>ROUNDUP(IF(B$13="Deploy",MAX((B$69/100)*$B80,$B80),(B$69/100)*$B80),0)</f>
        <v>1</v>
      </c>
      <c r="C55" s="167">
        <f t="shared" ref="C55:L55" si="25">ROUNDUP(IF(C$13="Deploy",MAX((C$69/100)*$B81,$B81),(C$69/100)*$B81),0)</f>
        <v>3</v>
      </c>
      <c r="D55" s="167">
        <f t="shared" si="25"/>
        <v>3</v>
      </c>
      <c r="E55" s="167">
        <f t="shared" si="25"/>
        <v>4</v>
      </c>
      <c r="F55" s="167">
        <f t="shared" si="25"/>
        <v>4</v>
      </c>
      <c r="G55" s="34">
        <f t="shared" si="25"/>
        <v>4</v>
      </c>
      <c r="H55" s="34">
        <f t="shared" si="25"/>
        <v>4</v>
      </c>
      <c r="I55" s="34">
        <f t="shared" si="25"/>
        <v>4</v>
      </c>
      <c r="J55" s="34">
        <f t="shared" si="25"/>
        <v>4</v>
      </c>
      <c r="K55" s="34">
        <f t="shared" si="25"/>
        <v>4</v>
      </c>
      <c r="L55" s="34">
        <f t="shared" si="25"/>
        <v>4</v>
      </c>
    </row>
    <row r="56" spans="1:19" s="36" customFormat="1" ht="12" x14ac:dyDescent="0.2">
      <c r="A56" s="50" t="str">
        <f t="shared" si="19"/>
        <v>≥ Level 1 AVO</v>
      </c>
      <c r="B56" s="166">
        <f>ROUNDUP(IF(B$13="Deploy",MAX((B$69/100)*$B81,$B81),(B$69/100)*$B81),0)</f>
        <v>2</v>
      </c>
      <c r="C56" s="166">
        <f t="shared" ref="C56:L56" si="26">ROUNDUP(IF(C$13="Deploy",MAX((C$69/100)*$B81,$B81),(C$69/100)*$B81),0)</f>
        <v>3</v>
      </c>
      <c r="D56" s="166">
        <f t="shared" si="26"/>
        <v>3</v>
      </c>
      <c r="E56" s="166">
        <f t="shared" si="26"/>
        <v>4</v>
      </c>
      <c r="F56" s="166">
        <f t="shared" si="26"/>
        <v>4</v>
      </c>
      <c r="G56" s="166">
        <f t="shared" si="26"/>
        <v>4</v>
      </c>
      <c r="H56" s="166">
        <f t="shared" si="26"/>
        <v>4</v>
      </c>
      <c r="I56" s="166">
        <f t="shared" si="26"/>
        <v>4</v>
      </c>
      <c r="J56" s="166">
        <f t="shared" si="26"/>
        <v>4</v>
      </c>
      <c r="K56" s="166">
        <f t="shared" si="26"/>
        <v>4</v>
      </c>
      <c r="L56" s="166">
        <f t="shared" si="26"/>
        <v>4</v>
      </c>
    </row>
    <row r="57" spans="1:19" s="36" customFormat="1" ht="12" x14ac:dyDescent="0.2">
      <c r="A57" s="50" t="str">
        <f t="shared" si="19"/>
        <v>≥ Level 1 MPO</v>
      </c>
      <c r="B57" s="166">
        <f>ROUNDUP(IF(B$13="Deploy",MAX((B$69/100)*$B82,$B82),(B$69/100)*$B82),0)</f>
        <v>2</v>
      </c>
      <c r="C57" s="166">
        <f t="shared" ref="C57:L57" si="27">ROUNDUP(IF(C$13="Deploy",MAX((C$69/100)*$B82,$B82),(C$69/100)*$B82),0)</f>
        <v>3</v>
      </c>
      <c r="D57" s="166">
        <f t="shared" si="27"/>
        <v>3</v>
      </c>
      <c r="E57" s="166">
        <f t="shared" si="27"/>
        <v>4</v>
      </c>
      <c r="F57" s="166">
        <f t="shared" si="27"/>
        <v>4</v>
      </c>
      <c r="G57" s="166">
        <f t="shared" si="27"/>
        <v>4</v>
      </c>
      <c r="H57" s="166">
        <f t="shared" si="27"/>
        <v>4</v>
      </c>
      <c r="I57" s="166">
        <f t="shared" si="27"/>
        <v>4</v>
      </c>
      <c r="J57" s="166">
        <f t="shared" si="27"/>
        <v>4</v>
      </c>
      <c r="K57" s="166">
        <f t="shared" si="27"/>
        <v>4</v>
      </c>
      <c r="L57" s="166">
        <f t="shared" si="27"/>
        <v>4</v>
      </c>
    </row>
    <row r="58" spans="1:19" ht="12" x14ac:dyDescent="0.2">
      <c r="A58" s="50" t="str">
        <f>A83</f>
        <v># Skilled Crews</v>
      </c>
      <c r="B58" s="166">
        <f>ROUNDUP(IF(B$13="Deploy",MAX((B$69/100)*$B83,$B83),(B$69/100)*$B83),0)</f>
        <v>1</v>
      </c>
      <c r="C58" s="166">
        <f t="shared" ref="C58:L58" si="28">ROUNDUP(IF(C$13="Deploy",MAX((C$69/100)*$B83,$B83),(C$69/100)*$B83),0)</f>
        <v>2</v>
      </c>
      <c r="D58" s="166">
        <f t="shared" si="28"/>
        <v>2</v>
      </c>
      <c r="E58" s="166">
        <f t="shared" si="28"/>
        <v>2</v>
      </c>
      <c r="F58" s="166">
        <f t="shared" si="28"/>
        <v>2</v>
      </c>
      <c r="G58" s="58">
        <f t="shared" si="28"/>
        <v>2</v>
      </c>
      <c r="H58" s="58">
        <f t="shared" si="28"/>
        <v>2</v>
      </c>
      <c r="I58" s="58">
        <f t="shared" si="28"/>
        <v>2</v>
      </c>
      <c r="J58" s="58">
        <f t="shared" si="28"/>
        <v>2</v>
      </c>
      <c r="K58" s="58">
        <f t="shared" si="28"/>
        <v>2</v>
      </c>
      <c r="L58" s="58">
        <f t="shared" si="28"/>
        <v>2</v>
      </c>
      <c r="M58" s="36"/>
      <c r="N58" s="36"/>
      <c r="O58" s="36"/>
      <c r="Q58" s="38"/>
      <c r="R58" s="38"/>
      <c r="S58" s="38"/>
    </row>
    <row r="60" spans="1:19" ht="12" x14ac:dyDescent="0.2">
      <c r="A60" s="60"/>
      <c r="B60" s="61"/>
      <c r="C60" s="36" t="s">
        <v>87</v>
      </c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</row>
    <row r="61" spans="1:19" ht="12" x14ac:dyDescent="0.2">
      <c r="A61" s="60"/>
      <c r="B61" s="63"/>
      <c r="C61" s="36" t="s">
        <v>88</v>
      </c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</row>
    <row r="62" spans="1:19" ht="12.75" thickBot="1" x14ac:dyDescent="0.25">
      <c r="A62" s="64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R62" s="37"/>
      <c r="S62" s="65"/>
    </row>
    <row r="63" spans="1:19" ht="15.75" customHeight="1" thickBot="1" x14ac:dyDescent="0.25">
      <c r="A63" s="298" t="s">
        <v>89</v>
      </c>
      <c r="B63" s="299"/>
      <c r="C63" s="299"/>
      <c r="D63" s="299"/>
      <c r="E63" s="299"/>
      <c r="F63" s="299"/>
      <c r="G63" s="299"/>
      <c r="H63" s="299"/>
      <c r="I63" s="299"/>
      <c r="J63" s="299"/>
      <c r="K63" s="299"/>
      <c r="L63" s="300"/>
      <c r="M63" s="201"/>
      <c r="N63" s="201"/>
      <c r="O63" s="201"/>
      <c r="P63" s="201"/>
      <c r="R63" s="38"/>
    </row>
    <row r="64" spans="1:19" ht="12" x14ac:dyDescent="0.2">
      <c r="A64" s="202" t="s">
        <v>90</v>
      </c>
      <c r="B64" s="203">
        <f t="shared" ref="B64:L64" si="29">MIN(100,B66+$B$70)</f>
        <v>27.476300232160561</v>
      </c>
      <c r="C64" s="203">
        <f t="shared" si="29"/>
        <v>82.476300232160554</v>
      </c>
      <c r="D64" s="203">
        <f t="shared" si="29"/>
        <v>92.476300232160554</v>
      </c>
      <c r="E64" s="203">
        <f t="shared" si="29"/>
        <v>92.476300232160554</v>
      </c>
      <c r="F64" s="203">
        <f t="shared" si="29"/>
        <v>92.476300232160554</v>
      </c>
      <c r="G64" s="203">
        <f t="shared" si="29"/>
        <v>100</v>
      </c>
      <c r="H64" s="203">
        <f t="shared" si="29"/>
        <v>100</v>
      </c>
      <c r="I64" s="203">
        <f t="shared" si="29"/>
        <v>100</v>
      </c>
      <c r="J64" s="203">
        <f t="shared" si="29"/>
        <v>100</v>
      </c>
      <c r="K64" s="203">
        <f t="shared" si="29"/>
        <v>100</v>
      </c>
      <c r="L64" s="204">
        <f t="shared" si="29"/>
        <v>100</v>
      </c>
      <c r="M64" s="36"/>
      <c r="O64" s="9"/>
      <c r="Q64" s="38"/>
      <c r="R64" s="38"/>
      <c r="S64" s="38"/>
    </row>
    <row r="65" spans="1:19" ht="12" x14ac:dyDescent="0.2">
      <c r="A65" s="89" t="s">
        <v>91</v>
      </c>
      <c r="B65" s="90">
        <f t="shared" ref="B65:L65" si="30">MIN(100,B66+$B$71)</f>
        <v>16.238150116080281</v>
      </c>
      <c r="C65" s="90">
        <f t="shared" si="30"/>
        <v>71.238150116080277</v>
      </c>
      <c r="D65" s="90">
        <f t="shared" si="30"/>
        <v>81.238150116080277</v>
      </c>
      <c r="E65" s="90">
        <f t="shared" si="30"/>
        <v>81.238150116080277</v>
      </c>
      <c r="F65" s="90">
        <f t="shared" si="30"/>
        <v>81.238150116080277</v>
      </c>
      <c r="G65" s="90">
        <f t="shared" si="30"/>
        <v>100</v>
      </c>
      <c r="H65" s="90">
        <f t="shared" si="30"/>
        <v>100</v>
      </c>
      <c r="I65" s="90">
        <f t="shared" si="30"/>
        <v>100</v>
      </c>
      <c r="J65" s="90">
        <f t="shared" si="30"/>
        <v>100</v>
      </c>
      <c r="K65" s="90">
        <f t="shared" si="30"/>
        <v>100</v>
      </c>
      <c r="L65" s="91">
        <f t="shared" si="30"/>
        <v>100</v>
      </c>
      <c r="M65" s="36"/>
      <c r="O65" s="9"/>
      <c r="Q65" s="38"/>
      <c r="R65" s="38"/>
      <c r="S65" s="38"/>
    </row>
    <row r="66" spans="1:19" ht="12" x14ac:dyDescent="0.2">
      <c r="A66" s="85" t="s">
        <v>92</v>
      </c>
      <c r="B66" s="115">
        <v>5</v>
      </c>
      <c r="C66" s="115">
        <v>60</v>
      </c>
      <c r="D66" s="115">
        <v>70</v>
      </c>
      <c r="E66" s="115">
        <v>70</v>
      </c>
      <c r="F66" s="115">
        <v>70</v>
      </c>
      <c r="G66" s="115">
        <v>100</v>
      </c>
      <c r="H66" s="115">
        <v>100</v>
      </c>
      <c r="I66" s="115">
        <v>100</v>
      </c>
      <c r="J66" s="115">
        <v>100</v>
      </c>
      <c r="K66" s="115">
        <v>100</v>
      </c>
      <c r="L66" s="116">
        <v>100</v>
      </c>
      <c r="M66" s="36"/>
      <c r="O66" s="9"/>
      <c r="Q66" s="38"/>
      <c r="R66" s="38"/>
      <c r="S66" s="38"/>
    </row>
    <row r="67" spans="1:19" ht="12" x14ac:dyDescent="0.2">
      <c r="A67" s="89" t="s">
        <v>93</v>
      </c>
      <c r="B67" s="117">
        <f t="shared" ref="B67:L67" si="31">MIN(80,IF(AND(B15&gt;=14,B15&lt;23),80,MAX(0,B66-$B$71)))</f>
        <v>0</v>
      </c>
      <c r="C67" s="117">
        <f t="shared" si="31"/>
        <v>48.761849883919723</v>
      </c>
      <c r="D67" s="117">
        <f t="shared" si="31"/>
        <v>58.761849883919723</v>
      </c>
      <c r="E67" s="117">
        <f t="shared" si="31"/>
        <v>58.761849883919723</v>
      </c>
      <c r="F67" s="117">
        <f t="shared" si="31"/>
        <v>80</v>
      </c>
      <c r="G67" s="117">
        <f t="shared" si="31"/>
        <v>80</v>
      </c>
      <c r="H67" s="117">
        <f t="shared" si="31"/>
        <v>80</v>
      </c>
      <c r="I67" s="117">
        <f t="shared" si="31"/>
        <v>80</v>
      </c>
      <c r="J67" s="117">
        <f t="shared" si="31"/>
        <v>80</v>
      </c>
      <c r="K67" s="117">
        <f t="shared" si="31"/>
        <v>80</v>
      </c>
      <c r="L67" s="205">
        <f t="shared" si="31"/>
        <v>80</v>
      </c>
      <c r="M67" s="36"/>
      <c r="O67" s="9"/>
      <c r="Q67" s="38"/>
      <c r="R67" s="38"/>
      <c r="S67" s="38"/>
    </row>
    <row r="68" spans="1:19" ht="12.75" thickBot="1" x14ac:dyDescent="0.25">
      <c r="A68" s="92" t="s">
        <v>94</v>
      </c>
      <c r="B68" s="103">
        <f t="shared" ref="B68:L68" si="32">MIN(60,IF(B13="Deploy",60,MAX(0,B66-$B$70)))</f>
        <v>0</v>
      </c>
      <c r="C68" s="103">
        <f t="shared" si="32"/>
        <v>37.523699767839439</v>
      </c>
      <c r="D68" s="103">
        <f t="shared" si="32"/>
        <v>47.523699767839439</v>
      </c>
      <c r="E68" s="103">
        <f t="shared" si="32"/>
        <v>47.523699767839439</v>
      </c>
      <c r="F68" s="103">
        <f t="shared" si="32"/>
        <v>47.523699767839439</v>
      </c>
      <c r="G68" s="103">
        <f t="shared" si="32"/>
        <v>60</v>
      </c>
      <c r="H68" s="103">
        <f t="shared" si="32"/>
        <v>60</v>
      </c>
      <c r="I68" s="103">
        <f t="shared" si="32"/>
        <v>60</v>
      </c>
      <c r="J68" s="103">
        <f t="shared" si="32"/>
        <v>60</v>
      </c>
      <c r="K68" s="103">
        <f t="shared" si="32"/>
        <v>60</v>
      </c>
      <c r="L68" s="104">
        <f t="shared" si="32"/>
        <v>60</v>
      </c>
      <c r="M68" s="36"/>
      <c r="O68" s="9"/>
      <c r="Q68" s="38"/>
      <c r="R68" s="38"/>
      <c r="S68" s="38"/>
    </row>
    <row r="69" spans="1:19" ht="12.75" thickBot="1" x14ac:dyDescent="0.25">
      <c r="A69" s="106" t="s">
        <v>95</v>
      </c>
      <c r="B69" s="107">
        <v>37</v>
      </c>
      <c r="C69" s="107">
        <v>68</v>
      </c>
      <c r="D69" s="107">
        <v>75</v>
      </c>
      <c r="E69" s="107">
        <v>85</v>
      </c>
      <c r="F69" s="107">
        <v>85</v>
      </c>
      <c r="G69" s="107">
        <v>100</v>
      </c>
      <c r="H69" s="107">
        <v>100</v>
      </c>
      <c r="I69" s="107">
        <v>100</v>
      </c>
      <c r="J69" s="107">
        <v>100</v>
      </c>
      <c r="K69" s="107">
        <v>100</v>
      </c>
      <c r="L69" s="108">
        <v>100</v>
      </c>
      <c r="M69" s="36"/>
      <c r="O69" s="9"/>
      <c r="Q69" s="38"/>
      <c r="R69" s="38"/>
      <c r="S69" s="38"/>
    </row>
    <row r="70" spans="1:19" x14ac:dyDescent="0.2">
      <c r="A70" s="93" t="s">
        <v>96</v>
      </c>
      <c r="B70" s="105">
        <f>SQRT(SUM(POWER(AVERAGE(B66:L66)-(B66:L66),2))/COUNT(B66:L66))*1</f>
        <v>22.476300232160561</v>
      </c>
      <c r="R70" s="38"/>
      <c r="S70" s="9"/>
    </row>
    <row r="71" spans="1:19" ht="12" thickBot="1" x14ac:dyDescent="0.25">
      <c r="A71" s="94" t="s">
        <v>97</v>
      </c>
      <c r="B71" s="95">
        <f>B70/2</f>
        <v>11.238150116080281</v>
      </c>
      <c r="R71" s="38"/>
      <c r="S71" s="9"/>
    </row>
    <row r="72" spans="1:19" ht="12" thickBot="1" x14ac:dyDescent="0.25">
      <c r="R72" s="38"/>
      <c r="S72" s="9"/>
    </row>
    <row r="73" spans="1:19" ht="13.5" thickBot="1" x14ac:dyDescent="0.25">
      <c r="A73" s="292" t="s">
        <v>98</v>
      </c>
      <c r="B73" s="293"/>
      <c r="R73" s="38"/>
      <c r="S73" s="38"/>
    </row>
    <row r="74" spans="1:19" ht="12.75" thickBot="1" x14ac:dyDescent="0.25">
      <c r="A74" s="294" t="s">
        <v>99</v>
      </c>
      <c r="B74" s="295"/>
      <c r="R74" s="38"/>
      <c r="S74" s="38"/>
    </row>
    <row r="75" spans="1:19" ht="12.75" thickTop="1" x14ac:dyDescent="0.2">
      <c r="A75" s="96" t="s">
        <v>100</v>
      </c>
      <c r="B75" s="97">
        <v>4</v>
      </c>
      <c r="R75" s="38"/>
      <c r="S75" s="38"/>
    </row>
    <row r="76" spans="1:19" ht="12" x14ac:dyDescent="0.2">
      <c r="A76" s="98" t="s">
        <v>101</v>
      </c>
      <c r="B76" s="195">
        <v>4</v>
      </c>
      <c r="R76" s="38"/>
      <c r="S76" s="38"/>
    </row>
    <row r="77" spans="1:19" ht="12" x14ac:dyDescent="0.2">
      <c r="A77" s="98" t="s">
        <v>102</v>
      </c>
      <c r="B77" s="195">
        <v>1</v>
      </c>
      <c r="R77" s="38"/>
      <c r="S77" s="38"/>
    </row>
    <row r="78" spans="1:19" ht="12" x14ac:dyDescent="0.2">
      <c r="A78" s="99" t="s">
        <v>103</v>
      </c>
      <c r="B78" s="195">
        <v>1</v>
      </c>
      <c r="R78" s="38"/>
      <c r="S78" s="38"/>
    </row>
    <row r="79" spans="1:19" ht="12" x14ac:dyDescent="0.2">
      <c r="A79" s="98" t="s">
        <v>104</v>
      </c>
      <c r="B79" s="195">
        <v>2</v>
      </c>
      <c r="R79" s="38"/>
      <c r="S79" s="38"/>
    </row>
    <row r="80" spans="1:19" ht="12" x14ac:dyDescent="0.2">
      <c r="A80" s="99" t="s">
        <v>105</v>
      </c>
      <c r="B80" s="100">
        <v>2</v>
      </c>
      <c r="R80" s="38"/>
      <c r="S80" s="38"/>
    </row>
    <row r="81" spans="1:22" ht="12" x14ac:dyDescent="0.2">
      <c r="A81" s="99" t="s">
        <v>106</v>
      </c>
      <c r="B81" s="100">
        <v>4</v>
      </c>
      <c r="R81" s="38"/>
      <c r="S81" s="38"/>
    </row>
    <row r="82" spans="1:22" ht="12" x14ac:dyDescent="0.2">
      <c r="A82" s="99" t="s">
        <v>107</v>
      </c>
      <c r="B82" s="100">
        <v>4</v>
      </c>
      <c r="R82" s="38"/>
      <c r="S82" s="38"/>
    </row>
    <row r="83" spans="1:22" ht="12.75" thickBot="1" x14ac:dyDescent="0.25">
      <c r="A83" s="101" t="s">
        <v>108</v>
      </c>
      <c r="B83" s="102">
        <v>2</v>
      </c>
      <c r="Q83" s="37"/>
    </row>
    <row r="84" spans="1:22" ht="12" thickBot="1" x14ac:dyDescent="0.25"/>
    <row r="85" spans="1:22" ht="13.5" thickBot="1" x14ac:dyDescent="0.25">
      <c r="A85" s="296" t="s">
        <v>109</v>
      </c>
      <c r="B85" s="297"/>
      <c r="C85" s="194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4"/>
      <c r="Q85" s="193"/>
      <c r="R85" s="193"/>
      <c r="S85" s="193"/>
      <c r="T85" s="193"/>
      <c r="U85" s="7"/>
      <c r="V85" s="3"/>
    </row>
    <row r="86" spans="1:22" ht="12" x14ac:dyDescent="0.2">
      <c r="A86" s="11" t="s">
        <v>110</v>
      </c>
      <c r="B86" s="12" t="s">
        <v>111</v>
      </c>
      <c r="C86" s="12" t="s">
        <v>111</v>
      </c>
      <c r="D86" s="12" t="s">
        <v>111</v>
      </c>
      <c r="E86" s="12" t="s">
        <v>111</v>
      </c>
      <c r="F86" s="12" t="s">
        <v>111</v>
      </c>
      <c r="G86" s="12"/>
      <c r="H86" s="12"/>
      <c r="I86" s="12"/>
      <c r="J86" s="12"/>
      <c r="K86" s="12"/>
      <c r="L86" s="13"/>
      <c r="M86" s="16"/>
      <c r="N86" s="16"/>
      <c r="O86" s="16"/>
      <c r="P86" s="16"/>
      <c r="Q86" s="7"/>
      <c r="R86" s="3"/>
      <c r="S86" s="38"/>
    </row>
    <row r="87" spans="1:22" ht="12.75" thickBot="1" x14ac:dyDescent="0.25">
      <c r="A87" s="14" t="s">
        <v>112</v>
      </c>
      <c r="B87" s="15"/>
      <c r="C87" s="15"/>
      <c r="D87" s="15"/>
      <c r="E87" s="15"/>
      <c r="F87" s="15"/>
      <c r="G87" s="15" t="s">
        <v>111</v>
      </c>
      <c r="H87" s="15" t="s">
        <v>111</v>
      </c>
      <c r="I87" s="15" t="s">
        <v>111</v>
      </c>
      <c r="J87" s="15" t="s">
        <v>111</v>
      </c>
      <c r="K87" s="15" t="s">
        <v>111</v>
      </c>
      <c r="L87" s="8" t="s">
        <v>111</v>
      </c>
      <c r="M87" s="16"/>
      <c r="N87" s="16"/>
      <c r="O87" s="16"/>
      <c r="P87" s="16"/>
      <c r="Q87" s="7"/>
      <c r="R87" s="3"/>
      <c r="S87" s="38"/>
    </row>
    <row r="88" spans="1:22" x14ac:dyDescent="0.2">
      <c r="Q88" s="66"/>
      <c r="R88" s="66"/>
      <c r="S88" s="66"/>
      <c r="T88" s="66"/>
      <c r="U88" s="66"/>
    </row>
    <row r="89" spans="1:22" ht="12" thickBot="1" x14ac:dyDescent="0.25">
      <c r="Q89" s="66"/>
      <c r="R89" s="66"/>
      <c r="S89" s="66"/>
      <c r="T89" s="66"/>
      <c r="U89" s="66"/>
    </row>
    <row r="90" spans="1:22" ht="12.75" x14ac:dyDescent="0.2">
      <c r="A90" s="120" t="s">
        <v>113</v>
      </c>
      <c r="B90" s="280" t="s">
        <v>114</v>
      </c>
      <c r="C90" s="281"/>
      <c r="D90" s="282" t="s">
        <v>115</v>
      </c>
      <c r="E90" s="283"/>
      <c r="F90" s="284" t="s">
        <v>116</v>
      </c>
      <c r="G90" s="285"/>
      <c r="I90" s="199" t="s">
        <v>117</v>
      </c>
      <c r="Q90" s="66"/>
      <c r="R90" s="66"/>
      <c r="S90" s="66"/>
      <c r="T90" s="66"/>
      <c r="U90" s="66"/>
    </row>
    <row r="91" spans="1:22" ht="12" x14ac:dyDescent="0.2">
      <c r="A91" s="121" t="s">
        <v>118</v>
      </c>
      <c r="B91" s="122">
        <v>1</v>
      </c>
      <c r="C91" s="122"/>
      <c r="D91" s="123"/>
      <c r="E91" s="123"/>
      <c r="F91" s="124"/>
      <c r="G91" s="125">
        <v>0</v>
      </c>
      <c r="I91" s="199" t="s">
        <v>17</v>
      </c>
      <c r="Q91" s="66"/>
      <c r="R91" s="66"/>
      <c r="S91" s="66"/>
      <c r="T91" s="66"/>
      <c r="U91" s="66"/>
    </row>
    <row r="92" spans="1:22" ht="12" x14ac:dyDescent="0.2">
      <c r="A92" s="121" t="s">
        <v>119</v>
      </c>
      <c r="B92" s="122">
        <v>1</v>
      </c>
      <c r="C92" s="122"/>
      <c r="D92" s="123"/>
      <c r="E92" s="123"/>
      <c r="F92" s="124"/>
      <c r="G92" s="125">
        <v>0</v>
      </c>
      <c r="Q92" s="66"/>
      <c r="R92" s="66"/>
      <c r="S92" s="66"/>
      <c r="T92" s="66"/>
      <c r="U92" s="66"/>
    </row>
    <row r="93" spans="1:22" ht="12" x14ac:dyDescent="0.2">
      <c r="A93" s="121" t="str">
        <f t="shared" ref="A93:A99" si="33">A39</f>
        <v>Ready MQ-8C Special Payload Collection/Full Motion Video Retransmission (C)</v>
      </c>
      <c r="B93" s="122" t="s">
        <v>120</v>
      </c>
      <c r="C93" s="122" t="s">
        <v>120</v>
      </c>
      <c r="D93" s="123" t="s">
        <v>120</v>
      </c>
      <c r="E93" s="123" t="s">
        <v>120</v>
      </c>
      <c r="F93" s="124" t="s">
        <v>120</v>
      </c>
      <c r="G93" s="125" t="s">
        <v>120</v>
      </c>
      <c r="Q93" s="66"/>
      <c r="R93" s="66"/>
      <c r="S93" s="66"/>
      <c r="T93" s="66"/>
      <c r="U93" s="66"/>
    </row>
    <row r="94" spans="1:22" ht="12" x14ac:dyDescent="0.2">
      <c r="A94" s="121" t="str">
        <f t="shared" si="33"/>
        <v>Ready MQ-8C MIW Mission Systems (D)</v>
      </c>
      <c r="B94" s="122">
        <v>1</v>
      </c>
      <c r="C94" s="122">
        <v>1</v>
      </c>
      <c r="D94" s="123"/>
      <c r="E94" s="123">
        <v>0</v>
      </c>
      <c r="F94" s="124">
        <v>0</v>
      </c>
      <c r="G94" s="125">
        <v>0</v>
      </c>
    </row>
    <row r="95" spans="1:22" ht="12" x14ac:dyDescent="0.2">
      <c r="A95" s="121" t="str">
        <f t="shared" si="33"/>
        <v>Ready MQ-8C SUW Mission Systems (E)</v>
      </c>
      <c r="B95" s="122" t="s">
        <v>120</v>
      </c>
      <c r="C95" s="122" t="s">
        <v>120</v>
      </c>
      <c r="D95" s="123" t="s">
        <v>120</v>
      </c>
      <c r="E95" s="123" t="s">
        <v>120</v>
      </c>
      <c r="F95" s="124" t="s">
        <v>120</v>
      </c>
      <c r="G95" s="125" t="s">
        <v>120</v>
      </c>
    </row>
    <row r="96" spans="1:22" ht="12" x14ac:dyDescent="0.2">
      <c r="A96" s="121" t="str">
        <f t="shared" si="33"/>
        <v>Ready MQ-8C Cold Weather Mission Systems (F)</v>
      </c>
      <c r="B96" s="122">
        <v>1</v>
      </c>
      <c r="C96" s="122">
        <v>1</v>
      </c>
      <c r="D96" s="123"/>
      <c r="E96" s="123">
        <v>0</v>
      </c>
      <c r="F96" s="124">
        <v>0</v>
      </c>
      <c r="G96" s="125">
        <v>0</v>
      </c>
    </row>
    <row r="97" spans="1:7" ht="12" x14ac:dyDescent="0.2">
      <c r="A97" s="121" t="str">
        <f t="shared" si="33"/>
        <v>Ready MQ-8C Weapons Support Mission Systems (G)</v>
      </c>
      <c r="B97" s="122" t="s">
        <v>120</v>
      </c>
      <c r="C97" s="122" t="s">
        <v>120</v>
      </c>
      <c r="D97" s="123" t="s">
        <v>120</v>
      </c>
      <c r="E97" s="123" t="s">
        <v>120</v>
      </c>
      <c r="F97" s="124" t="s">
        <v>120</v>
      </c>
      <c r="G97" s="125" t="s">
        <v>120</v>
      </c>
    </row>
    <row r="98" spans="1:7" ht="12" x14ac:dyDescent="0.2">
      <c r="A98" s="121" t="str">
        <f t="shared" si="33"/>
        <v>Ready MQ-8C Shipboard Mission Systems (K)</v>
      </c>
      <c r="B98" s="122">
        <v>1</v>
      </c>
      <c r="C98" s="122">
        <v>1</v>
      </c>
      <c r="D98" s="123"/>
      <c r="E98" s="123">
        <v>0</v>
      </c>
      <c r="F98" s="124">
        <v>0</v>
      </c>
      <c r="G98" s="125">
        <v>0</v>
      </c>
    </row>
    <row r="99" spans="1:7" ht="12" x14ac:dyDescent="0.2">
      <c r="A99" s="121" t="str">
        <f t="shared" si="33"/>
        <v>Ready MQ-8C IMC Flight Mission Systems (L)</v>
      </c>
      <c r="B99" s="122">
        <v>1</v>
      </c>
      <c r="C99" s="122">
        <v>1</v>
      </c>
      <c r="D99" s="123"/>
      <c r="E99" s="123">
        <v>0</v>
      </c>
      <c r="F99" s="124">
        <v>0</v>
      </c>
      <c r="G99" s="125">
        <v>0</v>
      </c>
    </row>
    <row r="100" spans="1:7" ht="12" x14ac:dyDescent="0.2">
      <c r="A100" s="155" t="str">
        <f>A47</f>
        <v>Assigned FLIR - AN/AAQ-22</v>
      </c>
      <c r="B100" s="156">
        <v>1</v>
      </c>
      <c r="C100" s="156">
        <v>1</v>
      </c>
      <c r="D100" s="157"/>
      <c r="E100" s="157">
        <v>0</v>
      </c>
      <c r="F100" s="158">
        <v>0</v>
      </c>
      <c r="G100" s="159">
        <v>0</v>
      </c>
    </row>
    <row r="101" spans="1:7" ht="12.75" thickBot="1" x14ac:dyDescent="0.25">
      <c r="A101" s="126" t="str">
        <f>A48</f>
        <v>Ready FLIR - AN/AAQ-22</v>
      </c>
      <c r="B101" s="127">
        <v>1</v>
      </c>
      <c r="C101" s="127">
        <v>1</v>
      </c>
      <c r="D101" s="128"/>
      <c r="E101" s="128">
        <v>0</v>
      </c>
      <c r="F101" s="129">
        <v>0</v>
      </c>
      <c r="G101" s="130">
        <v>0</v>
      </c>
    </row>
    <row r="102" spans="1:7" ht="12" x14ac:dyDescent="0.2">
      <c r="A102" s="143"/>
    </row>
    <row r="104" spans="1:7" x14ac:dyDescent="0.2">
      <c r="A104" s="244" t="s">
        <v>121</v>
      </c>
      <c r="B104" s="244" t="s">
        <v>122</v>
      </c>
    </row>
    <row r="105" spans="1:7" x14ac:dyDescent="0.2">
      <c r="A105" s="243" t="s">
        <v>123</v>
      </c>
      <c r="B105" s="245">
        <f>HLOOKUP($B$104,'MQ-8C Mission System Summary'!$B$1:$J$12,2,FALSE)</f>
        <v>0.66666666666666663</v>
      </c>
    </row>
    <row r="106" spans="1:7" x14ac:dyDescent="0.2">
      <c r="A106" s="243" t="s">
        <v>76</v>
      </c>
      <c r="B106" s="245">
        <f>HLOOKUP($B$104,'MQ-8C Mission System Summary'!$B$1:$J$12,3,FALSE)</f>
        <v>0</v>
      </c>
    </row>
    <row r="107" spans="1:7" x14ac:dyDescent="0.2">
      <c r="A107" s="243" t="s">
        <v>77</v>
      </c>
      <c r="B107" s="245">
        <f>HLOOKUP($B$104,'MQ-8C Mission System Summary'!$B$1:$J$12,4,FALSE)</f>
        <v>0</v>
      </c>
    </row>
    <row r="108" spans="1:7" x14ac:dyDescent="0.2">
      <c r="A108" s="243" t="s">
        <v>78</v>
      </c>
      <c r="B108" s="245">
        <f>HLOOKUP($B$104,'MQ-8C Mission System Summary'!$B$1:$J$12,5,FALSE)</f>
        <v>0.59005070174149465</v>
      </c>
    </row>
    <row r="109" spans="1:7" x14ac:dyDescent="0.2">
      <c r="A109" s="243" t="s">
        <v>79</v>
      </c>
      <c r="B109" s="245">
        <f>HLOOKUP($B$104,'MQ-8C Mission System Summary'!$B$1:$J$12,6,FALSE)</f>
        <v>0.4099492982585054</v>
      </c>
    </row>
    <row r="110" spans="1:7" x14ac:dyDescent="0.2">
      <c r="A110" s="243" t="s">
        <v>80</v>
      </c>
      <c r="B110" s="245">
        <f>HLOOKUP($B$104,'MQ-8C Mission System Summary'!$B$1:$J$12,7,FALSE)</f>
        <v>0</v>
      </c>
    </row>
    <row r="111" spans="1:7" x14ac:dyDescent="0.2">
      <c r="A111" s="243" t="s">
        <v>81</v>
      </c>
      <c r="B111" s="245">
        <f>HLOOKUP($B$104,'MQ-8C Mission System Summary'!$B$1:$J$12,8,FALSE)</f>
        <v>0.4099492982585054</v>
      </c>
    </row>
    <row r="112" spans="1:7" x14ac:dyDescent="0.2">
      <c r="A112" s="243" t="s">
        <v>82</v>
      </c>
      <c r="B112" s="245">
        <f>HLOOKUP($B$104,'MQ-8C Mission System Summary'!$B$1:$J$12,9,FALSE)</f>
        <v>1</v>
      </c>
    </row>
  </sheetData>
  <dataConsolidate/>
  <mergeCells count="9">
    <mergeCell ref="B90:C90"/>
    <mergeCell ref="D90:E90"/>
    <mergeCell ref="F90:G90"/>
    <mergeCell ref="M1:P1"/>
    <mergeCell ref="G16:L16"/>
    <mergeCell ref="A73:B73"/>
    <mergeCell ref="A74:B74"/>
    <mergeCell ref="A85:B85"/>
    <mergeCell ref="A63:L63"/>
  </mergeCells>
  <conditionalFormatting sqref="C93 C98:C99">
    <cfRule type="cellIs" dxfId="112" priority="41" operator="equal">
      <formula>B93</formula>
    </cfRule>
  </conditionalFormatting>
  <conditionalFormatting sqref="D93:E93 D98:E99">
    <cfRule type="cellIs" dxfId="111" priority="42" operator="equal">
      <formula>C93</formula>
    </cfRule>
  </conditionalFormatting>
  <conditionalFormatting sqref="F98:F99">
    <cfRule type="cellIs" dxfId="110" priority="43" operator="equal">
      <formula>E98</formula>
    </cfRule>
    <cfRule type="cellIs" dxfId="109" priority="52" operator="equal">
      <formula>G98</formula>
    </cfRule>
  </conditionalFormatting>
  <conditionalFormatting sqref="F93">
    <cfRule type="cellIs" dxfId="108" priority="51" operator="equal">
      <formula>E93</formula>
    </cfRule>
  </conditionalFormatting>
  <conditionalFormatting sqref="E93">
    <cfRule type="cellIs" dxfId="107" priority="50" operator="equal">
      <formula>D93</formula>
    </cfRule>
  </conditionalFormatting>
  <conditionalFormatting sqref="F93">
    <cfRule type="cellIs" dxfId="106" priority="48" operator="equal">
      <formula>E93</formula>
    </cfRule>
  </conditionalFormatting>
  <conditionalFormatting sqref="C93">
    <cfRule type="cellIs" dxfId="105" priority="49" operator="equal">
      <formula>B93</formula>
    </cfRule>
  </conditionalFormatting>
  <conditionalFormatting sqref="E93">
    <cfRule type="cellIs" dxfId="104" priority="47" operator="equal">
      <formula>D93</formula>
    </cfRule>
  </conditionalFormatting>
  <conditionalFormatting sqref="F93">
    <cfRule type="cellIs" dxfId="103" priority="46" operator="equal">
      <formula>E93</formula>
    </cfRule>
  </conditionalFormatting>
  <conditionalFormatting sqref="C93">
    <cfRule type="cellIs" dxfId="102" priority="45" operator="equal">
      <formula>B93</formula>
    </cfRule>
  </conditionalFormatting>
  <conditionalFormatting sqref="D93">
    <cfRule type="cellIs" dxfId="101" priority="44" operator="equal">
      <formula>C93</formula>
    </cfRule>
  </conditionalFormatting>
  <conditionalFormatting sqref="E93">
    <cfRule type="cellIs" dxfId="100" priority="55" operator="equal">
      <formula>D93</formula>
    </cfRule>
  </conditionalFormatting>
  <conditionalFormatting sqref="D93">
    <cfRule type="cellIs" dxfId="99" priority="53" operator="equal">
      <formula>C93</formula>
    </cfRule>
  </conditionalFormatting>
  <conditionalFormatting sqref="C94:C95">
    <cfRule type="cellIs" dxfId="98" priority="30" operator="equal">
      <formula>B94</formula>
    </cfRule>
  </conditionalFormatting>
  <conditionalFormatting sqref="F94:F95">
    <cfRule type="cellIs" dxfId="97" priority="39" operator="equal">
      <formula>E94</formula>
    </cfRule>
  </conditionalFormatting>
  <conditionalFormatting sqref="E94:E95">
    <cfRule type="cellIs" dxfId="96" priority="38" operator="equal">
      <formula>D94</formula>
    </cfRule>
  </conditionalFormatting>
  <conditionalFormatting sqref="F94:F95">
    <cfRule type="cellIs" dxfId="95" priority="36" operator="equal">
      <formula>E94</formula>
    </cfRule>
  </conditionalFormatting>
  <conditionalFormatting sqref="C94:C95">
    <cfRule type="cellIs" dxfId="94" priority="37" operator="equal">
      <formula>B94</formula>
    </cfRule>
  </conditionalFormatting>
  <conditionalFormatting sqref="E94:E95">
    <cfRule type="cellIs" dxfId="93" priority="35" operator="equal">
      <formula>D94</formula>
    </cfRule>
  </conditionalFormatting>
  <conditionalFormatting sqref="F94:F95">
    <cfRule type="cellIs" dxfId="92" priority="34" operator="equal">
      <formula>E94</formula>
    </cfRule>
  </conditionalFormatting>
  <conditionalFormatting sqref="C94:C95">
    <cfRule type="cellIs" dxfId="91" priority="33" operator="equal">
      <formula>B94</formula>
    </cfRule>
  </conditionalFormatting>
  <conditionalFormatting sqref="D94:D95">
    <cfRule type="cellIs" dxfId="90" priority="32" operator="equal">
      <formula>C94</formula>
    </cfRule>
  </conditionalFormatting>
  <conditionalFormatting sqref="E94:E95">
    <cfRule type="cellIs" dxfId="89" priority="31" operator="equal">
      <formula>D94</formula>
    </cfRule>
  </conditionalFormatting>
  <conditionalFormatting sqref="D94:D95">
    <cfRule type="cellIs" dxfId="88" priority="40" operator="equal">
      <formula>C94</formula>
    </cfRule>
  </conditionalFormatting>
  <conditionalFormatting sqref="C96">
    <cfRule type="cellIs" dxfId="87" priority="19" operator="equal">
      <formula>B96</formula>
    </cfRule>
  </conditionalFormatting>
  <conditionalFormatting sqref="F96">
    <cfRule type="cellIs" dxfId="86" priority="28" operator="equal">
      <formula>E96</formula>
    </cfRule>
  </conditionalFormatting>
  <conditionalFormatting sqref="E96">
    <cfRule type="cellIs" dxfId="85" priority="27" operator="equal">
      <formula>D96</formula>
    </cfRule>
  </conditionalFormatting>
  <conditionalFormatting sqref="F96">
    <cfRule type="cellIs" dxfId="84" priority="25" operator="equal">
      <formula>E96</formula>
    </cfRule>
  </conditionalFormatting>
  <conditionalFormatting sqref="C96">
    <cfRule type="cellIs" dxfId="83" priority="26" operator="equal">
      <formula>B96</formula>
    </cfRule>
  </conditionalFormatting>
  <conditionalFormatting sqref="E96">
    <cfRule type="cellIs" dxfId="82" priority="24" operator="equal">
      <formula>D96</formula>
    </cfRule>
  </conditionalFormatting>
  <conditionalFormatting sqref="F96">
    <cfRule type="cellIs" dxfId="81" priority="23" operator="equal">
      <formula>E96</formula>
    </cfRule>
  </conditionalFormatting>
  <conditionalFormatting sqref="C96">
    <cfRule type="cellIs" dxfId="80" priority="22" operator="equal">
      <formula>B96</formula>
    </cfRule>
  </conditionalFormatting>
  <conditionalFormatting sqref="D96">
    <cfRule type="cellIs" dxfId="79" priority="21" operator="equal">
      <formula>C96</formula>
    </cfRule>
  </conditionalFormatting>
  <conditionalFormatting sqref="E96">
    <cfRule type="cellIs" dxfId="78" priority="20" operator="equal">
      <formula>D96</formula>
    </cfRule>
  </conditionalFormatting>
  <conditionalFormatting sqref="D96">
    <cfRule type="cellIs" dxfId="77" priority="29" operator="equal">
      <formula>C96</formula>
    </cfRule>
  </conditionalFormatting>
  <conditionalFormatting sqref="C97">
    <cfRule type="cellIs" dxfId="76" priority="8" operator="equal">
      <formula>B97</formula>
    </cfRule>
  </conditionalFormatting>
  <conditionalFormatting sqref="D97:E97">
    <cfRule type="cellIs" dxfId="75" priority="18" operator="equal">
      <formula>C97</formula>
    </cfRule>
  </conditionalFormatting>
  <conditionalFormatting sqref="F97">
    <cfRule type="cellIs" dxfId="74" priority="17" operator="equal">
      <formula>E97</formula>
    </cfRule>
  </conditionalFormatting>
  <conditionalFormatting sqref="E97">
    <cfRule type="cellIs" dxfId="73" priority="16" operator="equal">
      <formula>D97</formula>
    </cfRule>
  </conditionalFormatting>
  <conditionalFormatting sqref="F97">
    <cfRule type="cellIs" dxfId="72" priority="14" operator="equal">
      <formula>E97</formula>
    </cfRule>
  </conditionalFormatting>
  <conditionalFormatting sqref="C97">
    <cfRule type="cellIs" dxfId="71" priority="15" operator="equal">
      <formula>B97</formula>
    </cfRule>
  </conditionalFormatting>
  <conditionalFormatting sqref="E97">
    <cfRule type="cellIs" dxfId="70" priority="13" operator="equal">
      <formula>D97</formula>
    </cfRule>
  </conditionalFormatting>
  <conditionalFormatting sqref="F97">
    <cfRule type="cellIs" dxfId="69" priority="12" operator="equal">
      <formula>E97</formula>
    </cfRule>
  </conditionalFormatting>
  <conditionalFormatting sqref="C97">
    <cfRule type="cellIs" dxfId="68" priority="11" operator="equal">
      <formula>B97</formula>
    </cfRule>
  </conditionalFormatting>
  <conditionalFormatting sqref="D97">
    <cfRule type="cellIs" dxfId="67" priority="10" operator="equal">
      <formula>C97</formula>
    </cfRule>
  </conditionalFormatting>
  <conditionalFormatting sqref="E97">
    <cfRule type="cellIs" dxfId="66" priority="9" operator="equal">
      <formula>D97</formula>
    </cfRule>
  </conditionalFormatting>
  <conditionalFormatting sqref="D97">
    <cfRule type="cellIs" dxfId="65" priority="54" operator="equal">
      <formula>C97</formula>
    </cfRule>
  </conditionalFormatting>
  <conditionalFormatting sqref="C100:C101">
    <cfRule type="cellIs" dxfId="64" priority="1" operator="equal">
      <formula>#REF!</formula>
    </cfRule>
  </conditionalFormatting>
  <conditionalFormatting sqref="D100:E101">
    <cfRule type="cellIs" dxfId="63" priority="2" operator="equal">
      <formula>#REF!</formula>
    </cfRule>
  </conditionalFormatting>
  <conditionalFormatting sqref="F100:F101">
    <cfRule type="cellIs" dxfId="62" priority="3" operator="equal">
      <formula>#REF!</formula>
    </cfRule>
    <cfRule type="cellIs" dxfId="61" priority="4" operator="equal">
      <formula>#REF!</formula>
    </cfRule>
  </conditionalFormatting>
  <conditionalFormatting sqref="C91:C92">
    <cfRule type="cellIs" dxfId="60" priority="5" operator="equal">
      <formula>#REF!</formula>
    </cfRule>
  </conditionalFormatting>
  <conditionalFormatting sqref="D91:E92">
    <cfRule type="cellIs" dxfId="59" priority="6" operator="equal">
      <formula>#REF!</formula>
    </cfRule>
  </conditionalFormatting>
  <conditionalFormatting sqref="F91:F92">
    <cfRule type="cellIs" dxfId="58" priority="7" operator="equal">
      <formula>#REF!</formula>
    </cfRule>
  </conditionalFormatting>
  <hyperlinks>
    <hyperlink ref="J2" location="Inventory!A1" display="Inventory" xr:uid="{00000000-0004-0000-0200-000000000000}"/>
    <hyperlink ref="J3" location="'MQ-8C SUW 1 Plane - 2 Crew'!A116" display="AMFOM" xr:uid="{00000000-0004-0000-0200-000001000000}"/>
    <hyperlink ref="I90" location="'MQ-8C SUW 1 Plane - 2 Crew'!A1" display="Top" xr:uid="{00000000-0004-0000-0200-000002000000}"/>
    <hyperlink ref="I91" location="Inventory!A1" display="Inventory" xr:uid="{00000000-0004-0000-0200-000003000000}"/>
  </hyperlinks>
  <printOptions horizontalCentered="1"/>
  <pageMargins left="0.5" right="0.5" top="0.52" bottom="1" header="0.5" footer="0.5"/>
  <pageSetup paperSize="3" scale="71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12"/>
  <sheetViews>
    <sheetView showGridLines="0" zoomScaleNormal="100" workbookViewId="0">
      <selection activeCell="J2" sqref="J2"/>
    </sheetView>
  </sheetViews>
  <sheetFormatPr defaultColWidth="9.140625" defaultRowHeight="11.25" x14ac:dyDescent="0.2"/>
  <cols>
    <col min="1" max="1" width="61.85546875" style="38" customWidth="1"/>
    <col min="2" max="16" width="5.7109375" style="38" customWidth="1"/>
    <col min="17" max="17" width="5.7109375" style="36" customWidth="1"/>
    <col min="18" max="18" width="6.28515625" style="36" customWidth="1"/>
    <col min="19" max="19" width="4.7109375" style="36" bestFit="1" customWidth="1"/>
    <col min="20" max="29" width="5.7109375" style="38" customWidth="1"/>
    <col min="30" max="30" width="7" style="38" bestFit="1" customWidth="1"/>
    <col min="31" max="77" width="5.7109375" style="38" customWidth="1"/>
    <col min="78" max="16384" width="9.140625" style="38"/>
  </cols>
  <sheetData>
    <row r="1" spans="1:30" s="27" customFormat="1" ht="18.75" x14ac:dyDescent="0.3">
      <c r="A1" s="68" t="s">
        <v>124</v>
      </c>
      <c r="B1" s="68"/>
      <c r="C1" s="68"/>
      <c r="H1" s="28"/>
      <c r="I1" s="28"/>
      <c r="J1" s="28"/>
      <c r="L1" s="29" t="s">
        <v>14</v>
      </c>
      <c r="M1" s="301">
        <v>44835</v>
      </c>
      <c r="N1" s="302"/>
      <c r="O1" s="303"/>
      <c r="P1" s="303"/>
      <c r="AC1" s="27" t="s">
        <v>15</v>
      </c>
      <c r="AD1" s="27">
        <v>8.02</v>
      </c>
    </row>
    <row r="2" spans="1:30" s="36" customFormat="1" ht="12" x14ac:dyDescent="0.2">
      <c r="A2" s="69" t="s">
        <v>16</v>
      </c>
      <c r="B2" s="168">
        <v>1</v>
      </c>
      <c r="C2" s="169"/>
      <c r="D2" s="170"/>
      <c r="E2" s="170"/>
      <c r="F2" s="170"/>
      <c r="G2" s="170"/>
      <c r="H2" s="165"/>
      <c r="I2" s="165"/>
      <c r="J2" s="171" t="s">
        <v>17</v>
      </c>
      <c r="K2" s="70"/>
      <c r="L2" s="70"/>
      <c r="M2" s="70"/>
      <c r="N2" s="70"/>
      <c r="O2" s="70"/>
      <c r="P2" s="70"/>
    </row>
    <row r="3" spans="1:30" s="36" customFormat="1" ht="12" x14ac:dyDescent="0.2">
      <c r="A3" s="69" t="s">
        <v>18</v>
      </c>
      <c r="B3" s="170">
        <f>B4/B2</f>
        <v>2</v>
      </c>
      <c r="C3" s="170"/>
      <c r="D3" s="165"/>
      <c r="E3" s="165"/>
      <c r="F3" s="165"/>
      <c r="G3" s="165"/>
      <c r="H3" s="165"/>
      <c r="I3" s="165"/>
      <c r="J3" s="200" t="s">
        <v>3</v>
      </c>
      <c r="K3" s="70"/>
      <c r="L3" s="70"/>
      <c r="M3" s="70"/>
      <c r="N3" s="70"/>
      <c r="O3" s="70"/>
      <c r="P3" s="70"/>
    </row>
    <row r="4" spans="1:30" s="36" customFormat="1" x14ac:dyDescent="0.2">
      <c r="A4" s="69" t="s">
        <v>19</v>
      </c>
      <c r="B4" s="168">
        <v>2</v>
      </c>
      <c r="C4" s="170"/>
      <c r="D4" s="170"/>
      <c r="E4" s="170"/>
      <c r="F4" s="170"/>
      <c r="G4" s="170"/>
      <c r="H4" s="165"/>
      <c r="I4" s="165"/>
      <c r="J4" s="165"/>
      <c r="K4" s="70"/>
      <c r="L4" s="70"/>
      <c r="M4" s="70"/>
      <c r="N4" s="70"/>
      <c r="O4" s="70"/>
      <c r="P4" s="70"/>
    </row>
    <row r="5" spans="1:30" s="36" customFormat="1" x14ac:dyDescent="0.2">
      <c r="A5" s="69" t="s">
        <v>20</v>
      </c>
      <c r="B5" s="170">
        <v>2</v>
      </c>
      <c r="C5" s="172"/>
      <c r="D5" s="170"/>
      <c r="E5" s="170"/>
      <c r="F5" s="170"/>
      <c r="G5" s="170"/>
      <c r="H5" s="165"/>
      <c r="I5" s="165"/>
      <c r="J5" s="165"/>
      <c r="K5" s="70"/>
      <c r="L5" s="70"/>
      <c r="M5" s="70"/>
      <c r="N5" s="70"/>
      <c r="O5" s="70"/>
      <c r="P5" s="70"/>
    </row>
    <row r="6" spans="1:30" s="36" customFormat="1" x14ac:dyDescent="0.2">
      <c r="A6" s="71" t="s">
        <v>21</v>
      </c>
      <c r="B6" s="170">
        <v>7.4</v>
      </c>
      <c r="C6" s="172"/>
      <c r="D6" s="170"/>
      <c r="E6" s="170"/>
      <c r="F6" s="170"/>
      <c r="G6" s="170"/>
      <c r="H6" s="170"/>
      <c r="I6" s="170"/>
      <c r="J6" s="170"/>
      <c r="K6" s="70"/>
      <c r="L6" s="70"/>
      <c r="M6" s="70"/>
      <c r="N6" s="70"/>
      <c r="O6" s="70"/>
      <c r="P6" s="70"/>
    </row>
    <row r="7" spans="1:30" s="36" customFormat="1" x14ac:dyDescent="0.2">
      <c r="A7" s="69" t="s">
        <v>22</v>
      </c>
      <c r="B7" s="170">
        <f>B6*B4</f>
        <v>14.8</v>
      </c>
      <c r="C7" s="165"/>
      <c r="D7" s="170"/>
      <c r="E7" s="170"/>
      <c r="F7" s="170"/>
      <c r="G7" s="170"/>
      <c r="H7" s="170"/>
      <c r="I7" s="170"/>
      <c r="J7" s="170"/>
      <c r="K7" s="9"/>
      <c r="L7" s="70"/>
      <c r="M7" s="70"/>
      <c r="N7" s="70"/>
      <c r="O7" s="70"/>
      <c r="P7" s="70"/>
    </row>
    <row r="8" spans="1:30" s="36" customFormat="1" x14ac:dyDescent="0.2">
      <c r="A8" s="69" t="s">
        <v>23</v>
      </c>
      <c r="B8" s="170">
        <f>B7/B5</f>
        <v>7.4</v>
      </c>
      <c r="C8" s="170"/>
      <c r="D8" s="170"/>
      <c r="E8" s="170"/>
      <c r="F8" s="170"/>
      <c r="G8" s="170"/>
      <c r="H8" s="170"/>
      <c r="I8" s="170"/>
      <c r="J8" s="170"/>
      <c r="K8" s="70"/>
      <c r="L8" s="70"/>
      <c r="M8" s="70"/>
      <c r="N8" s="70"/>
      <c r="O8" s="70"/>
      <c r="P8" s="70"/>
    </row>
    <row r="9" spans="1:30" s="36" customFormat="1" x14ac:dyDescent="0.2">
      <c r="A9" s="69" t="s">
        <v>24</v>
      </c>
      <c r="B9" s="170">
        <f>B4*C9</f>
        <v>0</v>
      </c>
      <c r="C9" s="170">
        <v>0</v>
      </c>
      <c r="D9" s="173"/>
      <c r="E9" s="173"/>
      <c r="F9" s="173"/>
      <c r="G9" s="173"/>
      <c r="H9" s="174" t="s">
        <v>25</v>
      </c>
      <c r="I9" s="174"/>
      <c r="J9" s="173">
        <v>0.4</v>
      </c>
      <c r="K9" s="17"/>
      <c r="L9" s="17"/>
      <c r="M9" s="17"/>
      <c r="N9" s="17"/>
      <c r="O9" s="17"/>
      <c r="P9" s="17"/>
      <c r="Q9" s="72"/>
      <c r="R9" s="72"/>
      <c r="S9" s="72"/>
    </row>
    <row r="10" spans="1:30" s="36" customFormat="1" x14ac:dyDescent="0.2">
      <c r="A10" s="69" t="s">
        <v>26</v>
      </c>
      <c r="B10" s="170">
        <f>B4*C10</f>
        <v>40</v>
      </c>
      <c r="C10" s="170">
        <v>20</v>
      </c>
      <c r="D10" s="165"/>
      <c r="E10" s="165"/>
      <c r="F10" s="165"/>
      <c r="G10" s="165"/>
      <c r="H10" s="174" t="s">
        <v>27</v>
      </c>
      <c r="I10" s="174"/>
      <c r="J10" s="240">
        <v>0.69899999999999995</v>
      </c>
      <c r="K10" s="9"/>
      <c r="L10" s="9"/>
      <c r="M10" s="9"/>
      <c r="N10" s="9"/>
      <c r="O10" s="9"/>
      <c r="P10" s="9"/>
    </row>
    <row r="11" spans="1:30" s="36" customFormat="1" x14ac:dyDescent="0.2">
      <c r="A11" s="78" t="s">
        <v>28</v>
      </c>
      <c r="B11" s="175">
        <f>C11*B4</f>
        <v>0</v>
      </c>
      <c r="C11" s="176">
        <v>0</v>
      </c>
      <c r="D11" s="177" t="s">
        <v>29</v>
      </c>
      <c r="E11" s="173"/>
      <c r="F11" s="173"/>
      <c r="G11" s="173"/>
      <c r="H11" s="173"/>
      <c r="I11" s="173"/>
      <c r="J11" s="173"/>
      <c r="K11" s="17"/>
      <c r="L11" s="17"/>
      <c r="M11" s="17"/>
      <c r="N11" s="17"/>
      <c r="O11" s="17"/>
      <c r="P11" s="17"/>
    </row>
    <row r="12" spans="1:30" s="36" customFormat="1" x14ac:dyDescent="0.2">
      <c r="B12" s="165"/>
      <c r="C12" s="178"/>
      <c r="D12" s="173"/>
      <c r="E12" s="173"/>
      <c r="F12" s="173"/>
      <c r="G12" s="173"/>
      <c r="H12" s="173"/>
      <c r="I12" s="173"/>
      <c r="J12" s="173"/>
      <c r="K12" s="17"/>
      <c r="L12" s="17"/>
      <c r="M12" s="17"/>
      <c r="N12" s="17"/>
      <c r="O12" s="17"/>
      <c r="P12" s="17"/>
    </row>
    <row r="13" spans="1:30" s="33" customFormat="1" ht="59.25" x14ac:dyDescent="0.2">
      <c r="A13" s="31" t="s">
        <v>30</v>
      </c>
      <c r="B13" s="179" t="s">
        <v>31</v>
      </c>
      <c r="C13" s="179" t="s">
        <v>32</v>
      </c>
      <c r="D13" s="179" t="s">
        <v>32</v>
      </c>
      <c r="E13" s="179" t="s">
        <v>33</v>
      </c>
      <c r="F13" s="179" t="s">
        <v>33</v>
      </c>
      <c r="G13" s="32" t="s">
        <v>34</v>
      </c>
      <c r="H13" s="32" t="s">
        <v>34</v>
      </c>
      <c r="I13" s="32" t="s">
        <v>34</v>
      </c>
      <c r="J13" s="32" t="s">
        <v>34</v>
      </c>
      <c r="K13" s="32" t="s">
        <v>34</v>
      </c>
      <c r="L13" s="32" t="s">
        <v>34</v>
      </c>
    </row>
    <row r="14" spans="1:30" s="33" customFormat="1" ht="12" x14ac:dyDescent="0.2">
      <c r="A14" s="31" t="s">
        <v>35</v>
      </c>
      <c r="B14" s="167" t="s">
        <v>36</v>
      </c>
      <c r="C14" s="167" t="s">
        <v>37</v>
      </c>
      <c r="D14" s="167" t="s">
        <v>38</v>
      </c>
      <c r="E14" s="167" t="s">
        <v>39</v>
      </c>
      <c r="F14" s="167" t="s">
        <v>40</v>
      </c>
      <c r="G14" s="34" t="s">
        <v>41</v>
      </c>
      <c r="H14" s="34" t="s">
        <v>42</v>
      </c>
      <c r="I14" s="34" t="s">
        <v>43</v>
      </c>
      <c r="J14" s="34" t="s">
        <v>44</v>
      </c>
      <c r="K14" s="34" t="s">
        <v>45</v>
      </c>
      <c r="L14" s="34" t="s">
        <v>46</v>
      </c>
      <c r="M14" s="110">
        <v>1</v>
      </c>
    </row>
    <row r="15" spans="1:30" s="33" customFormat="1" ht="12" x14ac:dyDescent="0.2">
      <c r="A15" s="31" t="s">
        <v>47</v>
      </c>
      <c r="B15" s="167">
        <v>1</v>
      </c>
      <c r="C15" s="167">
        <v>11</v>
      </c>
      <c r="D15" s="167">
        <v>12</v>
      </c>
      <c r="E15" s="167">
        <v>13</v>
      </c>
      <c r="F15" s="167">
        <v>14</v>
      </c>
      <c r="G15" s="34">
        <v>15</v>
      </c>
      <c r="H15" s="34">
        <v>16</v>
      </c>
      <c r="I15" s="34">
        <v>17</v>
      </c>
      <c r="J15" s="34">
        <v>18</v>
      </c>
      <c r="K15" s="34">
        <v>19</v>
      </c>
      <c r="L15" s="34">
        <v>20</v>
      </c>
      <c r="M15" s="110">
        <v>2</v>
      </c>
    </row>
    <row r="16" spans="1:30" s="30" customFormat="1" ht="15" customHeight="1" x14ac:dyDescent="0.2">
      <c r="A16" s="31" t="s">
        <v>48</v>
      </c>
      <c r="B16" s="167" t="s">
        <v>49</v>
      </c>
      <c r="C16" s="167" t="s">
        <v>49</v>
      </c>
      <c r="D16" s="274" t="s">
        <v>50</v>
      </c>
      <c r="E16" s="167" t="s">
        <v>51</v>
      </c>
      <c r="F16" s="275" t="s">
        <v>52</v>
      </c>
      <c r="G16" s="304" t="s">
        <v>53</v>
      </c>
      <c r="H16" s="305"/>
      <c r="I16" s="305"/>
      <c r="J16" s="305"/>
      <c r="K16" s="305"/>
      <c r="L16" s="306"/>
      <c r="M16" s="110">
        <v>3</v>
      </c>
    </row>
    <row r="17" spans="1:19" ht="12.75" x14ac:dyDescent="0.2">
      <c r="A17" s="75" t="s">
        <v>54</v>
      </c>
      <c r="B17" s="180"/>
      <c r="C17" s="181"/>
      <c r="D17" s="181"/>
      <c r="E17" s="181"/>
      <c r="F17" s="181"/>
      <c r="G17" s="35"/>
      <c r="H17" s="35"/>
      <c r="I17" s="35"/>
      <c r="J17" s="35"/>
      <c r="K17" s="35"/>
      <c r="L17" s="118"/>
      <c r="M17" s="110">
        <v>4</v>
      </c>
      <c r="N17" s="37"/>
      <c r="O17" s="37"/>
      <c r="Q17" s="38"/>
      <c r="R17" s="38"/>
      <c r="S17" s="38"/>
    </row>
    <row r="18" spans="1:19" ht="12" x14ac:dyDescent="0.2">
      <c r="A18" s="10" t="s">
        <v>55</v>
      </c>
      <c r="B18" s="182">
        <f t="shared" ref="B18" si="0">MIN(B67,80)</f>
        <v>0</v>
      </c>
      <c r="C18" s="182">
        <f t="shared" ref="C18:L18" si="1">MIN(C67,80)</f>
        <v>48.761849883919723</v>
      </c>
      <c r="D18" s="182">
        <f t="shared" si="1"/>
        <v>58.761849883919723</v>
      </c>
      <c r="E18" s="182">
        <f t="shared" si="1"/>
        <v>58.761849883919723</v>
      </c>
      <c r="F18" s="182">
        <f t="shared" si="1"/>
        <v>80</v>
      </c>
      <c r="G18" s="67">
        <f t="shared" si="1"/>
        <v>80</v>
      </c>
      <c r="H18" s="67">
        <f t="shared" si="1"/>
        <v>80</v>
      </c>
      <c r="I18" s="67">
        <f t="shared" si="1"/>
        <v>80</v>
      </c>
      <c r="J18" s="67">
        <f t="shared" si="1"/>
        <v>80</v>
      </c>
      <c r="K18" s="67">
        <f t="shared" si="1"/>
        <v>80</v>
      </c>
      <c r="L18" s="67">
        <f t="shared" si="1"/>
        <v>80</v>
      </c>
      <c r="M18" s="110">
        <v>5</v>
      </c>
      <c r="N18" s="1"/>
      <c r="O18" s="37"/>
      <c r="Q18" s="38"/>
      <c r="R18" s="38"/>
      <c r="S18" s="38"/>
    </row>
    <row r="19" spans="1:19" ht="12" x14ac:dyDescent="0.2">
      <c r="A19" s="4" t="s">
        <v>56</v>
      </c>
      <c r="B19" s="183">
        <v>0.4</v>
      </c>
      <c r="C19" s="196">
        <v>0.55000000000000004</v>
      </c>
      <c r="D19" s="183">
        <v>0.65</v>
      </c>
      <c r="E19" s="183">
        <v>0.75</v>
      </c>
      <c r="F19" s="183">
        <v>0.8</v>
      </c>
      <c r="G19" s="183">
        <v>0.8</v>
      </c>
      <c r="H19" s="49">
        <v>0.8</v>
      </c>
      <c r="I19" s="49">
        <v>0.8</v>
      </c>
      <c r="J19" s="49">
        <v>0.8</v>
      </c>
      <c r="K19" s="49">
        <v>0.8</v>
      </c>
      <c r="L19" s="49">
        <v>0.7</v>
      </c>
      <c r="M19" s="110">
        <v>6</v>
      </c>
      <c r="N19" s="2"/>
      <c r="O19" s="37"/>
      <c r="Q19" s="38"/>
      <c r="R19" s="38"/>
      <c r="S19" s="38"/>
    </row>
    <row r="20" spans="1:19" ht="12" x14ac:dyDescent="0.2">
      <c r="A20" s="76" t="s">
        <v>57</v>
      </c>
      <c r="B20" s="184"/>
      <c r="C20" s="185"/>
      <c r="D20" s="185"/>
      <c r="E20" s="185"/>
      <c r="F20" s="185"/>
      <c r="G20" s="185"/>
      <c r="H20" s="43"/>
      <c r="I20" s="43"/>
      <c r="J20" s="43"/>
      <c r="K20" s="43"/>
      <c r="L20" s="44"/>
      <c r="M20" s="110">
        <v>7</v>
      </c>
      <c r="N20" s="2"/>
      <c r="O20" s="37"/>
      <c r="Q20" s="38"/>
      <c r="R20" s="38"/>
      <c r="S20" s="38"/>
    </row>
    <row r="21" spans="1:19" ht="12" x14ac:dyDescent="0.2">
      <c r="A21" s="5" t="s">
        <v>58</v>
      </c>
      <c r="B21" s="186">
        <f t="shared" ref="B21:L22" si="2">B20*$B$5</f>
        <v>0</v>
      </c>
      <c r="C21" s="186">
        <f t="shared" ref="C21:L21" si="3">IF(C35=0,0,C19*$B$8)</f>
        <v>4.07</v>
      </c>
      <c r="D21" s="186">
        <f t="shared" si="3"/>
        <v>4.8100000000000005</v>
      </c>
      <c r="E21" s="186">
        <f t="shared" si="3"/>
        <v>5.5500000000000007</v>
      </c>
      <c r="F21" s="186">
        <f t="shared" si="3"/>
        <v>5.9200000000000008</v>
      </c>
      <c r="G21" s="40">
        <f t="shared" si="3"/>
        <v>5.9200000000000008</v>
      </c>
      <c r="H21" s="40">
        <f t="shared" si="3"/>
        <v>5.9200000000000008</v>
      </c>
      <c r="I21" s="40">
        <f t="shared" si="3"/>
        <v>5.9200000000000008</v>
      </c>
      <c r="J21" s="40">
        <f t="shared" si="3"/>
        <v>5.9200000000000008</v>
      </c>
      <c r="K21" s="40">
        <f t="shared" si="3"/>
        <v>5.9200000000000008</v>
      </c>
      <c r="L21" s="40">
        <f t="shared" si="3"/>
        <v>5.18</v>
      </c>
      <c r="M21" s="110">
        <v>8</v>
      </c>
      <c r="N21" s="7"/>
      <c r="O21" s="37"/>
      <c r="Q21" s="38"/>
      <c r="R21" s="38"/>
      <c r="S21" s="38"/>
    </row>
    <row r="22" spans="1:19" ht="12" x14ac:dyDescent="0.2">
      <c r="A22" s="5" t="s">
        <v>59</v>
      </c>
      <c r="B22" s="186">
        <f t="shared" si="2"/>
        <v>0</v>
      </c>
      <c r="C22" s="186">
        <f t="shared" si="2"/>
        <v>8.14</v>
      </c>
      <c r="D22" s="186">
        <f t="shared" si="2"/>
        <v>9.620000000000001</v>
      </c>
      <c r="E22" s="186">
        <f t="shared" si="2"/>
        <v>11.100000000000001</v>
      </c>
      <c r="F22" s="186">
        <f t="shared" si="2"/>
        <v>11.840000000000002</v>
      </c>
      <c r="G22" s="40">
        <f t="shared" si="2"/>
        <v>11.840000000000002</v>
      </c>
      <c r="H22" s="40">
        <f t="shared" si="2"/>
        <v>11.840000000000002</v>
      </c>
      <c r="I22" s="40">
        <f t="shared" si="2"/>
        <v>11.840000000000002</v>
      </c>
      <c r="J22" s="40">
        <f t="shared" si="2"/>
        <v>11.840000000000002</v>
      </c>
      <c r="K22" s="40">
        <f t="shared" si="2"/>
        <v>11.840000000000002</v>
      </c>
      <c r="L22" s="40">
        <f t="shared" si="2"/>
        <v>10.36</v>
      </c>
      <c r="M22" s="110">
        <v>9</v>
      </c>
      <c r="N22" s="7"/>
      <c r="O22" s="37"/>
      <c r="Q22" s="38"/>
      <c r="R22" s="38"/>
      <c r="S22" s="38"/>
    </row>
    <row r="23" spans="1:19" ht="12" x14ac:dyDescent="0.2">
      <c r="A23" s="5" t="s">
        <v>60</v>
      </c>
      <c r="B23" s="186">
        <f t="shared" ref="B23:L23" si="4">$B$9</f>
        <v>0</v>
      </c>
      <c r="C23" s="186">
        <f t="shared" si="4"/>
        <v>0</v>
      </c>
      <c r="D23" s="186">
        <f t="shared" si="4"/>
        <v>0</v>
      </c>
      <c r="E23" s="186">
        <f t="shared" si="4"/>
        <v>0</v>
      </c>
      <c r="F23" s="186">
        <f t="shared" si="4"/>
        <v>0</v>
      </c>
      <c r="G23" s="40">
        <f t="shared" si="4"/>
        <v>0</v>
      </c>
      <c r="H23" s="40">
        <f t="shared" si="4"/>
        <v>0</v>
      </c>
      <c r="I23" s="40">
        <f t="shared" si="4"/>
        <v>0</v>
      </c>
      <c r="J23" s="40">
        <f t="shared" si="4"/>
        <v>0</v>
      </c>
      <c r="K23" s="40">
        <f t="shared" si="4"/>
        <v>0</v>
      </c>
      <c r="L23" s="40">
        <f t="shared" si="4"/>
        <v>0</v>
      </c>
      <c r="M23" s="110">
        <v>10</v>
      </c>
      <c r="N23" s="41"/>
      <c r="O23" s="37"/>
      <c r="Q23" s="38"/>
      <c r="R23" s="38"/>
      <c r="S23" s="38"/>
    </row>
    <row r="24" spans="1:19" ht="12" x14ac:dyDescent="0.2">
      <c r="A24" s="5" t="s">
        <v>61</v>
      </c>
      <c r="B24" s="186">
        <f t="shared" ref="B24:L24" si="5">IF(ISBLANK(B87),0,$B$10)</f>
        <v>0</v>
      </c>
      <c r="C24" s="186">
        <f t="shared" si="5"/>
        <v>0</v>
      </c>
      <c r="D24" s="186">
        <f t="shared" si="5"/>
        <v>0</v>
      </c>
      <c r="E24" s="186">
        <f t="shared" si="5"/>
        <v>0</v>
      </c>
      <c r="F24" s="186">
        <f t="shared" si="5"/>
        <v>0</v>
      </c>
      <c r="G24" s="40">
        <f t="shared" si="5"/>
        <v>40</v>
      </c>
      <c r="H24" s="40">
        <f t="shared" si="5"/>
        <v>40</v>
      </c>
      <c r="I24" s="40">
        <f t="shared" si="5"/>
        <v>40</v>
      </c>
      <c r="J24" s="40">
        <f t="shared" si="5"/>
        <v>40</v>
      </c>
      <c r="K24" s="40">
        <f t="shared" si="5"/>
        <v>40</v>
      </c>
      <c r="L24" s="40">
        <f t="shared" si="5"/>
        <v>40</v>
      </c>
      <c r="M24" s="110">
        <v>11</v>
      </c>
      <c r="N24" s="7"/>
      <c r="O24" s="37"/>
      <c r="Q24" s="38"/>
      <c r="R24" s="38"/>
      <c r="S24" s="38"/>
    </row>
    <row r="25" spans="1:19" ht="12" x14ac:dyDescent="0.2">
      <c r="A25" s="5" t="s">
        <v>62</v>
      </c>
      <c r="B25" s="186">
        <f t="shared" ref="B25:L25" si="6">B21*$B$5+SUM(B23,B24)</f>
        <v>0</v>
      </c>
      <c r="C25" s="186">
        <f t="shared" si="6"/>
        <v>8.14</v>
      </c>
      <c r="D25" s="186">
        <f t="shared" si="6"/>
        <v>9.620000000000001</v>
      </c>
      <c r="E25" s="186">
        <f t="shared" si="6"/>
        <v>11.100000000000001</v>
      </c>
      <c r="F25" s="186">
        <f t="shared" si="6"/>
        <v>11.840000000000002</v>
      </c>
      <c r="G25" s="40">
        <f t="shared" si="6"/>
        <v>51.84</v>
      </c>
      <c r="H25" s="40">
        <f t="shared" si="6"/>
        <v>51.84</v>
      </c>
      <c r="I25" s="40">
        <f t="shared" si="6"/>
        <v>51.84</v>
      </c>
      <c r="J25" s="40">
        <f t="shared" si="6"/>
        <v>51.84</v>
      </c>
      <c r="K25" s="40">
        <f t="shared" si="6"/>
        <v>51.84</v>
      </c>
      <c r="L25" s="40">
        <f t="shared" si="6"/>
        <v>50.36</v>
      </c>
      <c r="M25" s="110">
        <v>12</v>
      </c>
      <c r="N25" s="7"/>
      <c r="O25" s="37"/>
      <c r="Q25" s="38"/>
      <c r="R25" s="38"/>
      <c r="S25" s="38"/>
    </row>
    <row r="26" spans="1:19" ht="12" x14ac:dyDescent="0.2">
      <c r="A26" s="6" t="s">
        <v>63</v>
      </c>
      <c r="B26" s="186">
        <v>19.600000000000001</v>
      </c>
      <c r="C26" s="186">
        <v>20.399999999999999</v>
      </c>
      <c r="D26" s="186">
        <v>23.5</v>
      </c>
      <c r="E26" s="186">
        <v>23.5</v>
      </c>
      <c r="F26" s="186">
        <v>23.5</v>
      </c>
      <c r="G26" s="186"/>
      <c r="H26" s="186"/>
      <c r="I26" s="40">
        <f>IF(I22=0,I19*$B$8*$B$5,-IF(ISBLANK(I86),0,MIN(I$22*$J$10,I$22-$B$7*$J$9)))</f>
        <v>0</v>
      </c>
      <c r="J26" s="40">
        <f>IF(J22=0,J19*$B$8*$B$5,-IF(ISBLANK(J86),0,MIN(J$22*$J$10,J$22-$B$7*$J$9)))</f>
        <v>0</v>
      </c>
      <c r="K26" s="40">
        <f>IF(K22=0,K19*$B$8*$B$5,-IF(ISBLANK(K86),0,MIN(K$22*$J$10,K$22-$B$7*$J$9)))</f>
        <v>0</v>
      </c>
      <c r="L26" s="40">
        <f>IF(L22=0,L19*$B$8*$B$5,-IF(ISBLANK(L86),0,MIN(L$22*$J$10,L$22-$B$7*$J$9)))</f>
        <v>0</v>
      </c>
      <c r="M26" s="110">
        <v>13</v>
      </c>
      <c r="N26" s="7"/>
      <c r="O26" s="37"/>
      <c r="Q26" s="38"/>
      <c r="R26" s="38"/>
      <c r="S26" s="38"/>
    </row>
    <row r="27" spans="1:19" ht="12" x14ac:dyDescent="0.2">
      <c r="A27" s="5" t="s">
        <v>64</v>
      </c>
      <c r="B27" s="186">
        <f t="shared" ref="B27:L27" si="7">IF(B26&gt;0,0,SUM(B25:B26))</f>
        <v>0</v>
      </c>
      <c r="C27" s="186">
        <f t="shared" si="7"/>
        <v>0</v>
      </c>
      <c r="D27" s="186">
        <f t="shared" si="7"/>
        <v>0</v>
      </c>
      <c r="E27" s="186">
        <f t="shared" si="7"/>
        <v>0</v>
      </c>
      <c r="F27" s="186">
        <f t="shared" si="7"/>
        <v>0</v>
      </c>
      <c r="G27" s="40">
        <f t="shared" si="7"/>
        <v>51.84</v>
      </c>
      <c r="H27" s="40">
        <f t="shared" si="7"/>
        <v>51.84</v>
      </c>
      <c r="I27" s="40">
        <f t="shared" si="7"/>
        <v>51.84</v>
      </c>
      <c r="J27" s="40">
        <f t="shared" si="7"/>
        <v>51.84</v>
      </c>
      <c r="K27" s="40">
        <f t="shared" si="7"/>
        <v>51.84</v>
      </c>
      <c r="L27" s="40">
        <f t="shared" si="7"/>
        <v>50.36</v>
      </c>
      <c r="M27" s="110">
        <v>14</v>
      </c>
      <c r="N27" s="7"/>
      <c r="O27" s="37"/>
      <c r="Q27" s="38"/>
      <c r="R27" s="38"/>
      <c r="S27" s="38"/>
    </row>
    <row r="28" spans="1:19" ht="12" x14ac:dyDescent="0.2">
      <c r="A28" s="6" t="s">
        <v>65</v>
      </c>
      <c r="B28" s="186">
        <f>AVERAGE(K25:L25,B25)</f>
        <v>34.06666666666667</v>
      </c>
      <c r="C28" s="186">
        <f>AVERAGE(C25:C25)</f>
        <v>8.14</v>
      </c>
      <c r="D28" s="186">
        <f>AVERAGE(C25:D25)</f>
        <v>8.8800000000000008</v>
      </c>
      <c r="E28" s="186">
        <f>AVERAGE(C25:E25)</f>
        <v>9.620000000000001</v>
      </c>
      <c r="F28" s="186">
        <f>AVERAGE(C25:F25)</f>
        <v>10.175000000000001</v>
      </c>
      <c r="G28" s="40">
        <f>AVERAGE(G25:G25)</f>
        <v>51.84</v>
      </c>
      <c r="H28" s="40">
        <f>AVERAGE(G25:H25)</f>
        <v>51.84</v>
      </c>
      <c r="I28" s="40">
        <f>AVERAGE(G25:I25)</f>
        <v>51.84</v>
      </c>
      <c r="J28" s="40">
        <f>AVERAGE(H25:J25)</f>
        <v>51.84</v>
      </c>
      <c r="K28" s="40">
        <f>AVERAGE(I25:K25)</f>
        <v>51.84</v>
      </c>
      <c r="L28" s="40">
        <f>AVERAGE(J25:L25)</f>
        <v>51.346666666666671</v>
      </c>
      <c r="M28" s="110">
        <v>15</v>
      </c>
      <c r="N28" s="41"/>
      <c r="O28" s="37"/>
      <c r="Q28" s="38"/>
      <c r="R28" s="38"/>
      <c r="S28" s="38"/>
    </row>
    <row r="29" spans="1:19" ht="12" x14ac:dyDescent="0.2">
      <c r="A29" s="77" t="s">
        <v>66</v>
      </c>
      <c r="B29" s="187"/>
      <c r="C29" s="188"/>
      <c r="D29" s="188"/>
      <c r="E29" s="188"/>
      <c r="F29" s="188"/>
      <c r="G29" s="73"/>
      <c r="H29" s="73"/>
      <c r="I29" s="73"/>
      <c r="J29" s="73"/>
      <c r="K29" s="73"/>
      <c r="L29" s="74"/>
      <c r="M29" s="110">
        <v>16</v>
      </c>
      <c r="N29" s="41"/>
      <c r="O29" s="37"/>
      <c r="Q29" s="38"/>
      <c r="R29" s="38"/>
      <c r="S29" s="38"/>
    </row>
    <row r="30" spans="1:19" ht="12" x14ac:dyDescent="0.2">
      <c r="A30" s="6" t="s">
        <v>67</v>
      </c>
      <c r="B30" s="189">
        <f t="shared" ref="B30:L30" si="8">IF(ISBLANK(B86),0,$B$11)</f>
        <v>0</v>
      </c>
      <c r="C30" s="189">
        <f t="shared" si="8"/>
        <v>0</v>
      </c>
      <c r="D30" s="189">
        <f t="shared" si="8"/>
        <v>0</v>
      </c>
      <c r="E30" s="189">
        <f t="shared" si="8"/>
        <v>0</v>
      </c>
      <c r="F30" s="189">
        <f t="shared" si="8"/>
        <v>0</v>
      </c>
      <c r="G30" s="79">
        <f t="shared" si="8"/>
        <v>0</v>
      </c>
      <c r="H30" s="79">
        <f t="shared" si="8"/>
        <v>0</v>
      </c>
      <c r="I30" s="79">
        <f t="shared" si="8"/>
        <v>0</v>
      </c>
      <c r="J30" s="79">
        <f t="shared" si="8"/>
        <v>0</v>
      </c>
      <c r="K30" s="79">
        <f t="shared" si="8"/>
        <v>0</v>
      </c>
      <c r="L30" s="79">
        <f t="shared" si="8"/>
        <v>0</v>
      </c>
      <c r="M30" s="110">
        <v>17</v>
      </c>
      <c r="N30" s="41"/>
      <c r="O30" s="37"/>
      <c r="Q30" s="38"/>
      <c r="R30" s="38"/>
      <c r="S30" s="38"/>
    </row>
    <row r="31" spans="1:19" s="48" customFormat="1" ht="12.75" x14ac:dyDescent="0.2">
      <c r="A31" s="56" t="s">
        <v>68</v>
      </c>
      <c r="B31" s="184"/>
      <c r="C31" s="185"/>
      <c r="D31" s="185"/>
      <c r="E31" s="185"/>
      <c r="F31" s="185"/>
      <c r="G31" s="43"/>
      <c r="H31" s="43"/>
      <c r="I31" s="43"/>
      <c r="J31" s="43"/>
      <c r="K31" s="43"/>
      <c r="L31" s="44"/>
      <c r="M31" s="110">
        <v>18</v>
      </c>
      <c r="N31" s="46"/>
      <c r="O31" s="47"/>
    </row>
    <row r="32" spans="1:19" s="48" customFormat="1" ht="12" x14ac:dyDescent="0.2">
      <c r="A32" s="142" t="s">
        <v>69</v>
      </c>
      <c r="B32" s="190">
        <v>0</v>
      </c>
      <c r="C32" s="190">
        <v>0.7</v>
      </c>
      <c r="D32" s="190">
        <v>0.8</v>
      </c>
      <c r="E32" s="190">
        <v>0.9</v>
      </c>
      <c r="F32" s="190">
        <v>1</v>
      </c>
      <c r="G32" s="190">
        <v>1</v>
      </c>
      <c r="H32" s="39">
        <v>1</v>
      </c>
      <c r="I32" s="39">
        <v>1</v>
      </c>
      <c r="J32" s="39">
        <v>1</v>
      </c>
      <c r="K32" s="39">
        <v>1</v>
      </c>
      <c r="L32" s="39">
        <v>1</v>
      </c>
      <c r="M32" s="110">
        <v>19</v>
      </c>
      <c r="N32" s="47"/>
      <c r="O32" s="47"/>
    </row>
    <row r="33" spans="1:19" s="48" customFormat="1" ht="12" x14ac:dyDescent="0.2">
      <c r="A33" s="142" t="s">
        <v>70</v>
      </c>
      <c r="B33" s="190">
        <f t="shared" ref="B33:L33" si="9">0.8*B32</f>
        <v>0</v>
      </c>
      <c r="C33" s="190">
        <f t="shared" si="9"/>
        <v>0.55999999999999994</v>
      </c>
      <c r="D33" s="190">
        <f t="shared" si="9"/>
        <v>0.64000000000000012</v>
      </c>
      <c r="E33" s="190">
        <f t="shared" si="9"/>
        <v>0.72000000000000008</v>
      </c>
      <c r="F33" s="190">
        <f t="shared" si="9"/>
        <v>0.8</v>
      </c>
      <c r="G33" s="39">
        <f t="shared" si="9"/>
        <v>0.8</v>
      </c>
      <c r="H33" s="39">
        <f t="shared" si="9"/>
        <v>0.8</v>
      </c>
      <c r="I33" s="39">
        <f t="shared" si="9"/>
        <v>0.8</v>
      </c>
      <c r="J33" s="39">
        <f t="shared" si="9"/>
        <v>0.8</v>
      </c>
      <c r="K33" s="39">
        <f t="shared" si="9"/>
        <v>0.8</v>
      </c>
      <c r="L33" s="39">
        <f t="shared" si="9"/>
        <v>0.8</v>
      </c>
      <c r="M33" s="110">
        <v>20</v>
      </c>
      <c r="N33" s="45"/>
      <c r="O33" s="45"/>
    </row>
    <row r="34" spans="1:19" s="48" customFormat="1" ht="12" x14ac:dyDescent="0.2">
      <c r="A34" s="142" t="s">
        <v>71</v>
      </c>
      <c r="B34" s="246">
        <f>((B36*$B$105)/$B$2)</f>
        <v>0</v>
      </c>
      <c r="C34" s="246">
        <f t="shared" ref="C34:L34" si="10">((C36*$B$105)/$B$2)</f>
        <v>0.2744241510145406</v>
      </c>
      <c r="D34" s="246">
        <f t="shared" si="10"/>
        <v>0.31362760115947497</v>
      </c>
      <c r="E34" s="246">
        <f t="shared" si="10"/>
        <v>0.35283105130440928</v>
      </c>
      <c r="F34" s="246">
        <f t="shared" si="10"/>
        <v>0.39203450144934371</v>
      </c>
      <c r="G34" s="246">
        <f t="shared" si="10"/>
        <v>0.39203450144934371</v>
      </c>
      <c r="H34" s="246">
        <f t="shared" si="10"/>
        <v>0.39203450144934371</v>
      </c>
      <c r="I34" s="246">
        <f t="shared" si="10"/>
        <v>0.39203450144934371</v>
      </c>
      <c r="J34" s="246">
        <f t="shared" si="10"/>
        <v>0.39203450144934371</v>
      </c>
      <c r="K34" s="246">
        <f t="shared" si="10"/>
        <v>0.39203450144934371</v>
      </c>
      <c r="L34" s="246">
        <f t="shared" si="10"/>
        <v>0.39203450144934371</v>
      </c>
      <c r="M34" s="110">
        <v>21</v>
      </c>
      <c r="N34" s="45"/>
      <c r="O34" s="45"/>
    </row>
    <row r="35" spans="1:19" ht="12" x14ac:dyDescent="0.2">
      <c r="A35" s="50" t="s">
        <v>72</v>
      </c>
      <c r="B35" s="51">
        <f t="shared" ref="B35:L35" si="11">ROUND($B$2*B$32,2)</f>
        <v>0</v>
      </c>
      <c r="C35" s="51">
        <f t="shared" si="11"/>
        <v>0.7</v>
      </c>
      <c r="D35" s="51">
        <f t="shared" si="11"/>
        <v>0.8</v>
      </c>
      <c r="E35" s="51">
        <f t="shared" si="11"/>
        <v>0.9</v>
      </c>
      <c r="F35" s="51">
        <f t="shared" si="11"/>
        <v>1</v>
      </c>
      <c r="G35" s="51">
        <f t="shared" si="11"/>
        <v>1</v>
      </c>
      <c r="H35" s="51">
        <f t="shared" si="11"/>
        <v>1</v>
      </c>
      <c r="I35" s="51">
        <f t="shared" si="11"/>
        <v>1</v>
      </c>
      <c r="J35" s="51">
        <f t="shared" si="11"/>
        <v>1</v>
      </c>
      <c r="K35" s="51">
        <f t="shared" si="11"/>
        <v>1</v>
      </c>
      <c r="L35" s="51">
        <f t="shared" si="11"/>
        <v>1</v>
      </c>
      <c r="M35" s="110">
        <v>22</v>
      </c>
      <c r="N35" s="36"/>
      <c r="O35" s="36"/>
      <c r="Q35" s="38"/>
      <c r="R35" s="38"/>
      <c r="S35" s="38"/>
    </row>
    <row r="36" spans="1:19" s="36" customFormat="1" ht="12" x14ac:dyDescent="0.2">
      <c r="A36" s="5" t="s">
        <v>73</v>
      </c>
      <c r="B36" s="111">
        <f t="shared" ref="B36:L36" si="12">ROUND(MIN(3,$B$2*B$33),2)</f>
        <v>0</v>
      </c>
      <c r="C36" s="111">
        <f t="shared" si="12"/>
        <v>0.56000000000000005</v>
      </c>
      <c r="D36" s="111">
        <f t="shared" si="12"/>
        <v>0.64</v>
      </c>
      <c r="E36" s="111">
        <f t="shared" si="12"/>
        <v>0.72</v>
      </c>
      <c r="F36" s="111">
        <f t="shared" si="12"/>
        <v>0.8</v>
      </c>
      <c r="G36" s="111">
        <f t="shared" si="12"/>
        <v>0.8</v>
      </c>
      <c r="H36" s="111">
        <f t="shared" si="12"/>
        <v>0.8</v>
      </c>
      <c r="I36" s="111">
        <f t="shared" si="12"/>
        <v>0.8</v>
      </c>
      <c r="J36" s="111">
        <f t="shared" si="12"/>
        <v>0.8</v>
      </c>
      <c r="K36" s="111">
        <f t="shared" si="12"/>
        <v>0.8</v>
      </c>
      <c r="L36" s="111">
        <f t="shared" si="12"/>
        <v>0.8</v>
      </c>
      <c r="M36" s="110">
        <v>23</v>
      </c>
    </row>
    <row r="37" spans="1:19" s="36" customFormat="1" ht="12" x14ac:dyDescent="0.2">
      <c r="A37" s="242" t="s">
        <v>74</v>
      </c>
      <c r="B37" s="247">
        <f>B34*$B$2</f>
        <v>0</v>
      </c>
      <c r="C37" s="247">
        <f t="shared" ref="C37:L37" si="13">C34*$B$2</f>
        <v>0.2744241510145406</v>
      </c>
      <c r="D37" s="247">
        <f t="shared" si="13"/>
        <v>0.31362760115947497</v>
      </c>
      <c r="E37" s="247">
        <f t="shared" si="13"/>
        <v>0.35283105130440928</v>
      </c>
      <c r="F37" s="247">
        <f t="shared" si="13"/>
        <v>0.39203450144934371</v>
      </c>
      <c r="G37" s="247">
        <f t="shared" si="13"/>
        <v>0.39203450144934371</v>
      </c>
      <c r="H37" s="247">
        <f t="shared" si="13"/>
        <v>0.39203450144934371</v>
      </c>
      <c r="I37" s="247">
        <f t="shared" si="13"/>
        <v>0.39203450144934371</v>
      </c>
      <c r="J37" s="247">
        <f t="shared" si="13"/>
        <v>0.39203450144934371</v>
      </c>
      <c r="K37" s="247">
        <f t="shared" si="13"/>
        <v>0.39203450144934371</v>
      </c>
      <c r="L37" s="247">
        <f t="shared" si="13"/>
        <v>0.39203450144934371</v>
      </c>
      <c r="M37" s="110">
        <v>24</v>
      </c>
    </row>
    <row r="38" spans="1:19" s="36" customFormat="1" ht="12" x14ac:dyDescent="0.2">
      <c r="A38" s="109" t="s">
        <v>75</v>
      </c>
      <c r="B38" s="112"/>
      <c r="C38" s="113"/>
      <c r="D38" s="113"/>
      <c r="E38" s="113"/>
      <c r="F38" s="113"/>
      <c r="G38" s="113"/>
      <c r="H38" s="113"/>
      <c r="I38" s="113"/>
      <c r="J38" s="113"/>
      <c r="K38" s="113"/>
      <c r="L38" s="114"/>
      <c r="M38" s="110">
        <v>25</v>
      </c>
    </row>
    <row r="39" spans="1:19" s="9" customFormat="1" ht="12.75" customHeight="1" x14ac:dyDescent="0.2">
      <c r="A39" s="164" t="s">
        <v>76</v>
      </c>
      <c r="B39" s="248">
        <f t="shared" ref="B39:L43" si="14">B$36*$B106</f>
        <v>0</v>
      </c>
      <c r="C39" s="248">
        <f t="shared" si="14"/>
        <v>0</v>
      </c>
      <c r="D39" s="248">
        <f t="shared" si="14"/>
        <v>0</v>
      </c>
      <c r="E39" s="248">
        <f t="shared" si="14"/>
        <v>0</v>
      </c>
      <c r="F39" s="248">
        <f t="shared" si="14"/>
        <v>0</v>
      </c>
      <c r="G39" s="248">
        <f t="shared" si="14"/>
        <v>0</v>
      </c>
      <c r="H39" s="248">
        <f t="shared" si="14"/>
        <v>0</v>
      </c>
      <c r="I39" s="248">
        <f t="shared" si="14"/>
        <v>0</v>
      </c>
      <c r="J39" s="248">
        <f t="shared" si="14"/>
        <v>0</v>
      </c>
      <c r="K39" s="248">
        <f t="shared" si="14"/>
        <v>0</v>
      </c>
      <c r="L39" s="248">
        <f t="shared" si="14"/>
        <v>0</v>
      </c>
      <c r="M39" s="110">
        <v>26</v>
      </c>
    </row>
    <row r="40" spans="1:19" s="9" customFormat="1" ht="12" x14ac:dyDescent="0.2">
      <c r="A40" s="162" t="s">
        <v>77</v>
      </c>
      <c r="B40" s="248">
        <f t="shared" si="14"/>
        <v>0</v>
      </c>
      <c r="C40" s="248">
        <f t="shared" si="14"/>
        <v>2.1194824782598449E-2</v>
      </c>
      <c r="D40" s="248">
        <f t="shared" si="14"/>
        <v>2.4222656894398224E-2</v>
      </c>
      <c r="E40" s="248">
        <f t="shared" si="14"/>
        <v>2.7250489006198003E-2</v>
      </c>
      <c r="F40" s="248">
        <f t="shared" si="14"/>
        <v>3.0278321117997782E-2</v>
      </c>
      <c r="G40" s="248">
        <f t="shared" si="14"/>
        <v>3.0278321117997782E-2</v>
      </c>
      <c r="H40" s="248">
        <f t="shared" si="14"/>
        <v>3.0278321117997782E-2</v>
      </c>
      <c r="I40" s="248">
        <f t="shared" si="14"/>
        <v>3.0278321117997782E-2</v>
      </c>
      <c r="J40" s="248">
        <f t="shared" si="14"/>
        <v>3.0278321117997782E-2</v>
      </c>
      <c r="K40" s="248">
        <f t="shared" si="14"/>
        <v>3.0278321117997782E-2</v>
      </c>
      <c r="L40" s="248">
        <f t="shared" si="14"/>
        <v>3.0278321117997782E-2</v>
      </c>
      <c r="M40" s="110">
        <v>27</v>
      </c>
    </row>
    <row r="41" spans="1:19" s="9" customFormat="1" ht="12" x14ac:dyDescent="0.2">
      <c r="A41" s="162" t="s">
        <v>78</v>
      </c>
      <c r="B41" s="248">
        <f t="shared" si="14"/>
        <v>0</v>
      </c>
      <c r="C41" s="248">
        <f t="shared" si="14"/>
        <v>0</v>
      </c>
      <c r="D41" s="248">
        <f t="shared" si="14"/>
        <v>0</v>
      </c>
      <c r="E41" s="248">
        <f t="shared" si="14"/>
        <v>0</v>
      </c>
      <c r="F41" s="248">
        <f t="shared" si="14"/>
        <v>0</v>
      </c>
      <c r="G41" s="248">
        <f t="shared" si="14"/>
        <v>0</v>
      </c>
      <c r="H41" s="248">
        <f t="shared" si="14"/>
        <v>0</v>
      </c>
      <c r="I41" s="248">
        <f t="shared" si="14"/>
        <v>0</v>
      </c>
      <c r="J41" s="248">
        <f t="shared" si="14"/>
        <v>0</v>
      </c>
      <c r="K41" s="248">
        <f t="shared" si="14"/>
        <v>0</v>
      </c>
      <c r="L41" s="248">
        <f t="shared" si="14"/>
        <v>0</v>
      </c>
      <c r="M41" s="110">
        <v>28</v>
      </c>
    </row>
    <row r="42" spans="1:19" s="9" customFormat="1" ht="12" x14ac:dyDescent="0.2">
      <c r="A42" s="162" t="s">
        <v>79</v>
      </c>
      <c r="B42" s="248">
        <f t="shared" si="14"/>
        <v>0</v>
      </c>
      <c r="C42" s="248">
        <f t="shared" si="14"/>
        <v>0.2420776282610233</v>
      </c>
      <c r="D42" s="248">
        <f t="shared" si="14"/>
        <v>0.2766601465840266</v>
      </c>
      <c r="E42" s="248">
        <f t="shared" si="14"/>
        <v>0.3112426649070299</v>
      </c>
      <c r="F42" s="248">
        <f t="shared" si="14"/>
        <v>0.34582518323003325</v>
      </c>
      <c r="G42" s="248">
        <f t="shared" si="14"/>
        <v>0.34582518323003325</v>
      </c>
      <c r="H42" s="248">
        <f t="shared" si="14"/>
        <v>0.34582518323003325</v>
      </c>
      <c r="I42" s="248">
        <f t="shared" si="14"/>
        <v>0.34582518323003325</v>
      </c>
      <c r="J42" s="248">
        <f t="shared" si="14"/>
        <v>0.34582518323003325</v>
      </c>
      <c r="K42" s="248">
        <f t="shared" si="14"/>
        <v>0.34582518323003325</v>
      </c>
      <c r="L42" s="248">
        <f t="shared" si="14"/>
        <v>0.34582518323003325</v>
      </c>
      <c r="M42" s="110">
        <v>29</v>
      </c>
    </row>
    <row r="43" spans="1:19" s="9" customFormat="1" ht="12" x14ac:dyDescent="0.2">
      <c r="A43" s="162" t="s">
        <v>80</v>
      </c>
      <c r="B43" s="248">
        <f t="shared" si="14"/>
        <v>0</v>
      </c>
      <c r="C43" s="248">
        <f t="shared" si="14"/>
        <v>0</v>
      </c>
      <c r="D43" s="248">
        <f t="shared" si="14"/>
        <v>0</v>
      </c>
      <c r="E43" s="248">
        <f t="shared" si="14"/>
        <v>0</v>
      </c>
      <c r="F43" s="248">
        <f t="shared" si="14"/>
        <v>0</v>
      </c>
      <c r="G43" s="248">
        <f t="shared" si="14"/>
        <v>0</v>
      </c>
      <c r="H43" s="248">
        <f t="shared" si="14"/>
        <v>0</v>
      </c>
      <c r="I43" s="248">
        <f t="shared" si="14"/>
        <v>0</v>
      </c>
      <c r="J43" s="248">
        <f t="shared" si="14"/>
        <v>0</v>
      </c>
      <c r="K43" s="248">
        <f t="shared" si="14"/>
        <v>0</v>
      </c>
      <c r="L43" s="248">
        <f t="shared" si="14"/>
        <v>0</v>
      </c>
      <c r="M43" s="110">
        <v>30</v>
      </c>
    </row>
    <row r="44" spans="1:19" s="9" customFormat="1" ht="12" x14ac:dyDescent="0.2">
      <c r="A44" s="162" t="s">
        <v>81</v>
      </c>
      <c r="B44" s="248">
        <f>IF(B$13="Deploy",B$36,B$36*$B111)</f>
        <v>0</v>
      </c>
      <c r="C44" s="248">
        <f t="shared" ref="C44:L44" si="15">IF(C$13="Deploy",C$36,C$36*$B111)</f>
        <v>0.2420776282610233</v>
      </c>
      <c r="D44" s="248">
        <f t="shared" si="15"/>
        <v>0.2766601465840266</v>
      </c>
      <c r="E44" s="248">
        <f t="shared" si="15"/>
        <v>0.3112426649070299</v>
      </c>
      <c r="F44" s="248">
        <f t="shared" si="15"/>
        <v>0.34582518323003325</v>
      </c>
      <c r="G44" s="248">
        <f t="shared" si="15"/>
        <v>0.8</v>
      </c>
      <c r="H44" s="248">
        <f t="shared" si="15"/>
        <v>0.8</v>
      </c>
      <c r="I44" s="248">
        <f t="shared" si="15"/>
        <v>0.8</v>
      </c>
      <c r="J44" s="248">
        <f t="shared" si="15"/>
        <v>0.8</v>
      </c>
      <c r="K44" s="248">
        <f t="shared" si="15"/>
        <v>0.8</v>
      </c>
      <c r="L44" s="248">
        <f t="shared" si="15"/>
        <v>0.8</v>
      </c>
      <c r="M44" s="110">
        <v>31</v>
      </c>
    </row>
    <row r="45" spans="1:19" s="9" customFormat="1" ht="12.75" x14ac:dyDescent="0.2">
      <c r="A45" s="163" t="s">
        <v>82</v>
      </c>
      <c r="B45" s="248">
        <f>B$36*$B112</f>
        <v>0</v>
      </c>
      <c r="C45" s="248">
        <f t="shared" ref="C45:L45" si="16">C$36*$B112</f>
        <v>0.56000000000000005</v>
      </c>
      <c r="D45" s="248">
        <f t="shared" si="16"/>
        <v>0.64</v>
      </c>
      <c r="E45" s="248">
        <f t="shared" si="16"/>
        <v>0.72</v>
      </c>
      <c r="F45" s="248">
        <f t="shared" si="16"/>
        <v>0.8</v>
      </c>
      <c r="G45" s="248">
        <f t="shared" si="16"/>
        <v>0.8</v>
      </c>
      <c r="H45" s="248">
        <f t="shared" si="16"/>
        <v>0.8</v>
      </c>
      <c r="I45" s="248">
        <f t="shared" si="16"/>
        <v>0.8</v>
      </c>
      <c r="J45" s="248">
        <f t="shared" si="16"/>
        <v>0.8</v>
      </c>
      <c r="K45" s="248">
        <f t="shared" si="16"/>
        <v>0.8</v>
      </c>
      <c r="L45" s="248">
        <f t="shared" si="16"/>
        <v>0.8</v>
      </c>
      <c r="M45" s="110">
        <v>32</v>
      </c>
    </row>
    <row r="46" spans="1:19" s="9" customFormat="1" ht="12" x14ac:dyDescent="0.2">
      <c r="A46" s="109" t="s">
        <v>83</v>
      </c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4"/>
      <c r="M46" s="110">
        <v>33</v>
      </c>
    </row>
    <row r="47" spans="1:19" s="9" customFormat="1" ht="12" x14ac:dyDescent="0.2">
      <c r="A47" s="42" t="s">
        <v>84</v>
      </c>
      <c r="B47" s="55">
        <f t="shared" ref="B47:L47" si="17">B35</f>
        <v>0</v>
      </c>
      <c r="C47" s="55">
        <f t="shared" si="17"/>
        <v>0.7</v>
      </c>
      <c r="D47" s="55">
        <f t="shared" si="17"/>
        <v>0.8</v>
      </c>
      <c r="E47" s="55">
        <f t="shared" si="17"/>
        <v>0.9</v>
      </c>
      <c r="F47" s="55">
        <f t="shared" si="17"/>
        <v>1</v>
      </c>
      <c r="G47" s="55">
        <f t="shared" si="17"/>
        <v>1</v>
      </c>
      <c r="H47" s="55">
        <f t="shared" si="17"/>
        <v>1</v>
      </c>
      <c r="I47" s="55">
        <f t="shared" si="17"/>
        <v>1</v>
      </c>
      <c r="J47" s="55">
        <f t="shared" si="17"/>
        <v>1</v>
      </c>
      <c r="K47" s="55">
        <f t="shared" si="17"/>
        <v>1</v>
      </c>
      <c r="L47" s="55">
        <f t="shared" si="17"/>
        <v>1</v>
      </c>
      <c r="M47" s="110">
        <v>34</v>
      </c>
    </row>
    <row r="48" spans="1:19" s="9" customFormat="1" ht="12" x14ac:dyDescent="0.2">
      <c r="A48" s="42" t="s">
        <v>85</v>
      </c>
      <c r="B48" s="51">
        <f>IF(B36=0,0,ROUND(MIN(2,$C$2*B$33),2))</f>
        <v>0</v>
      </c>
      <c r="C48" s="51">
        <f t="shared" ref="C48:L48" si="18">IF(C36=0,0,ROUND(MIN(2,$B$2*C$33),2))</f>
        <v>0.56000000000000005</v>
      </c>
      <c r="D48" s="51">
        <f t="shared" si="18"/>
        <v>0.64</v>
      </c>
      <c r="E48" s="51">
        <f t="shared" si="18"/>
        <v>0.72</v>
      </c>
      <c r="F48" s="51">
        <f t="shared" si="18"/>
        <v>0.8</v>
      </c>
      <c r="G48" s="51">
        <f t="shared" si="18"/>
        <v>0.8</v>
      </c>
      <c r="H48" s="51">
        <f t="shared" si="18"/>
        <v>0.8</v>
      </c>
      <c r="I48" s="51">
        <f t="shared" si="18"/>
        <v>0.8</v>
      </c>
      <c r="J48" s="51">
        <f t="shared" si="18"/>
        <v>0.8</v>
      </c>
      <c r="K48" s="51">
        <f t="shared" si="18"/>
        <v>0.8</v>
      </c>
      <c r="L48" s="51">
        <f t="shared" si="18"/>
        <v>0.8</v>
      </c>
      <c r="M48" s="110">
        <v>35</v>
      </c>
    </row>
    <row r="49" spans="1:19" s="36" customFormat="1" ht="12.75" x14ac:dyDescent="0.2">
      <c r="A49" s="56" t="s">
        <v>86</v>
      </c>
      <c r="B49" s="273"/>
      <c r="C49" s="274"/>
      <c r="D49" s="274"/>
      <c r="E49" s="274"/>
      <c r="F49" s="274"/>
      <c r="G49" s="276"/>
      <c r="H49" s="276"/>
      <c r="I49" s="276"/>
      <c r="J49" s="276"/>
      <c r="K49" s="276"/>
      <c r="L49" s="277"/>
    </row>
    <row r="50" spans="1:19" s="36" customFormat="1" ht="12" x14ac:dyDescent="0.2">
      <c r="A50" s="50" t="str">
        <f>A75</f>
        <v>AVO Assigned</v>
      </c>
      <c r="B50" s="191">
        <f t="shared" ref="B50:L50" si="19">$B$75</f>
        <v>4</v>
      </c>
      <c r="C50" s="191">
        <f t="shared" si="19"/>
        <v>4</v>
      </c>
      <c r="D50" s="191">
        <f t="shared" si="19"/>
        <v>4</v>
      </c>
      <c r="E50" s="191">
        <f t="shared" si="19"/>
        <v>4</v>
      </c>
      <c r="F50" s="191">
        <f t="shared" si="19"/>
        <v>4</v>
      </c>
      <c r="G50" s="57">
        <f t="shared" si="19"/>
        <v>4</v>
      </c>
      <c r="H50" s="57">
        <f t="shared" si="19"/>
        <v>4</v>
      </c>
      <c r="I50" s="57">
        <f t="shared" si="19"/>
        <v>4</v>
      </c>
      <c r="J50" s="57">
        <f t="shared" si="19"/>
        <v>4</v>
      </c>
      <c r="K50" s="57">
        <f t="shared" si="19"/>
        <v>4</v>
      </c>
      <c r="L50" s="57">
        <f t="shared" si="19"/>
        <v>4</v>
      </c>
    </row>
    <row r="51" spans="1:19" s="36" customFormat="1" ht="12" x14ac:dyDescent="0.2">
      <c r="A51" s="50" t="str">
        <f>A76</f>
        <v>MPO Assigned</v>
      </c>
      <c r="B51" s="192">
        <f t="shared" ref="B51:L51" si="20">$B$76</f>
        <v>4</v>
      </c>
      <c r="C51" s="192">
        <f t="shared" si="20"/>
        <v>4</v>
      </c>
      <c r="D51" s="192">
        <f t="shared" si="20"/>
        <v>4</v>
      </c>
      <c r="E51" s="192">
        <f t="shared" si="20"/>
        <v>4</v>
      </c>
      <c r="F51" s="192">
        <f t="shared" si="20"/>
        <v>4</v>
      </c>
      <c r="G51" s="59">
        <f t="shared" si="20"/>
        <v>4</v>
      </c>
      <c r="H51" s="59">
        <f t="shared" si="20"/>
        <v>4</v>
      </c>
      <c r="I51" s="59">
        <f t="shared" si="20"/>
        <v>4</v>
      </c>
      <c r="J51" s="59">
        <f t="shared" si="20"/>
        <v>4</v>
      </c>
      <c r="K51" s="59">
        <f t="shared" si="20"/>
        <v>4</v>
      </c>
      <c r="L51" s="59">
        <f t="shared" si="20"/>
        <v>4</v>
      </c>
    </row>
    <row r="52" spans="1:19" s="36" customFormat="1" ht="12" x14ac:dyDescent="0.2">
      <c r="A52" s="50" t="str">
        <f>A77</f>
        <v>≥ Level 3 AVO</v>
      </c>
      <c r="B52" s="166">
        <f t="shared" ref="B52:L52" si="21">ROUNDUP(IF(B$13="Deploy",MAX((B$69/100)*$B77,$B77),(B$69/100)*$B77),0)</f>
        <v>1</v>
      </c>
      <c r="C52" s="166">
        <f t="shared" si="21"/>
        <v>1</v>
      </c>
      <c r="D52" s="166">
        <f t="shared" si="21"/>
        <v>1</v>
      </c>
      <c r="E52" s="166">
        <f t="shared" si="21"/>
        <v>1</v>
      </c>
      <c r="F52" s="166">
        <f t="shared" si="21"/>
        <v>1</v>
      </c>
      <c r="G52" s="58">
        <f t="shared" si="21"/>
        <v>1</v>
      </c>
      <c r="H52" s="58">
        <f t="shared" si="21"/>
        <v>1</v>
      </c>
      <c r="I52" s="58">
        <f t="shared" si="21"/>
        <v>1</v>
      </c>
      <c r="J52" s="58">
        <f t="shared" si="21"/>
        <v>1</v>
      </c>
      <c r="K52" s="58">
        <f t="shared" si="21"/>
        <v>1</v>
      </c>
      <c r="L52" s="58">
        <f t="shared" si="21"/>
        <v>1</v>
      </c>
    </row>
    <row r="53" spans="1:19" s="36" customFormat="1" ht="12" x14ac:dyDescent="0.2">
      <c r="A53" s="50" t="str">
        <f>A78</f>
        <v>≥ Level 3 MPO</v>
      </c>
      <c r="B53" s="166">
        <f t="shared" ref="B53:L53" si="22">ROUNDUP(IF(B$13="Deploy",MAX((B$69/100)*$B78,$B78),(B$69/100)*$B78),0)</f>
        <v>1</v>
      </c>
      <c r="C53" s="166">
        <f t="shared" si="22"/>
        <v>1</v>
      </c>
      <c r="D53" s="166">
        <f t="shared" si="22"/>
        <v>1</v>
      </c>
      <c r="E53" s="166">
        <f t="shared" si="22"/>
        <v>1</v>
      </c>
      <c r="F53" s="166">
        <f t="shared" si="22"/>
        <v>1</v>
      </c>
      <c r="G53" s="58">
        <f t="shared" si="22"/>
        <v>1</v>
      </c>
      <c r="H53" s="58">
        <f t="shared" si="22"/>
        <v>1</v>
      </c>
      <c r="I53" s="58">
        <f t="shared" si="22"/>
        <v>1</v>
      </c>
      <c r="J53" s="58">
        <f t="shared" si="22"/>
        <v>1</v>
      </c>
      <c r="K53" s="58">
        <f t="shared" si="22"/>
        <v>1</v>
      </c>
      <c r="L53" s="58">
        <f t="shared" si="22"/>
        <v>1</v>
      </c>
    </row>
    <row r="54" spans="1:19" s="36" customFormat="1" ht="12" x14ac:dyDescent="0.2">
      <c r="A54" s="50" t="str">
        <f>A79</f>
        <v>≥ Level 2 AVO</v>
      </c>
      <c r="B54" s="166">
        <f t="shared" ref="B54:L54" si="23">ROUNDUP(IF(B$13="Deploy",MAX((B$69/100)*$B79,$B79),(B$69/100)*$B79),0)</f>
        <v>1</v>
      </c>
      <c r="C54" s="166">
        <f t="shared" si="23"/>
        <v>2</v>
      </c>
      <c r="D54" s="166">
        <f t="shared" si="23"/>
        <v>2</v>
      </c>
      <c r="E54" s="166">
        <f t="shared" si="23"/>
        <v>2</v>
      </c>
      <c r="F54" s="166">
        <f t="shared" si="23"/>
        <v>2</v>
      </c>
      <c r="G54" s="58">
        <f t="shared" si="23"/>
        <v>2</v>
      </c>
      <c r="H54" s="58">
        <f t="shared" si="23"/>
        <v>2</v>
      </c>
      <c r="I54" s="58">
        <f t="shared" si="23"/>
        <v>2</v>
      </c>
      <c r="J54" s="58">
        <f t="shared" si="23"/>
        <v>2</v>
      </c>
      <c r="K54" s="58">
        <f t="shared" si="23"/>
        <v>2</v>
      </c>
      <c r="L54" s="58">
        <f t="shared" si="23"/>
        <v>2</v>
      </c>
    </row>
    <row r="55" spans="1:19" s="36" customFormat="1" ht="12" x14ac:dyDescent="0.2">
      <c r="A55" s="50" t="str">
        <f t="shared" ref="A55:A57" si="24">A80</f>
        <v>≥ Level 2 MPO</v>
      </c>
      <c r="B55" s="166">
        <f t="shared" ref="B55:L55" si="25">ROUNDUP(IF(B$13="Deploy",MAX((B$69/100)*$B80,$B80),(B$69/100)*$B80),0)</f>
        <v>1</v>
      </c>
      <c r="C55" s="167">
        <f t="shared" si="25"/>
        <v>2</v>
      </c>
      <c r="D55" s="167">
        <f t="shared" si="25"/>
        <v>2</v>
      </c>
      <c r="E55" s="167">
        <f t="shared" si="25"/>
        <v>2</v>
      </c>
      <c r="F55" s="167">
        <f t="shared" si="25"/>
        <v>2</v>
      </c>
      <c r="G55" s="34">
        <f t="shared" si="25"/>
        <v>2</v>
      </c>
      <c r="H55" s="34">
        <f t="shared" si="25"/>
        <v>2</v>
      </c>
      <c r="I55" s="34">
        <f t="shared" si="25"/>
        <v>2</v>
      </c>
      <c r="J55" s="34">
        <f t="shared" si="25"/>
        <v>2</v>
      </c>
      <c r="K55" s="34">
        <f t="shared" si="25"/>
        <v>2</v>
      </c>
      <c r="L55" s="34">
        <f t="shared" si="25"/>
        <v>2</v>
      </c>
    </row>
    <row r="56" spans="1:19" s="36" customFormat="1" ht="12" x14ac:dyDescent="0.2">
      <c r="A56" s="50" t="str">
        <f t="shared" si="24"/>
        <v>≥ Level 1 AVO</v>
      </c>
      <c r="B56" s="166">
        <f t="shared" ref="B56:L56" si="26">ROUNDUP(IF(B$13="Deploy",MAX((B$69/100)*$B81,$B81),(B$69/100)*$B81),0)</f>
        <v>2</v>
      </c>
      <c r="C56" s="166">
        <f t="shared" si="26"/>
        <v>3</v>
      </c>
      <c r="D56" s="166">
        <f t="shared" si="26"/>
        <v>3</v>
      </c>
      <c r="E56" s="166">
        <f t="shared" si="26"/>
        <v>4</v>
      </c>
      <c r="F56" s="166">
        <f t="shared" si="26"/>
        <v>4</v>
      </c>
      <c r="G56" s="166">
        <f t="shared" si="26"/>
        <v>4</v>
      </c>
      <c r="H56" s="166">
        <f t="shared" si="26"/>
        <v>4</v>
      </c>
      <c r="I56" s="166">
        <f t="shared" si="26"/>
        <v>4</v>
      </c>
      <c r="J56" s="166">
        <f t="shared" si="26"/>
        <v>4</v>
      </c>
      <c r="K56" s="166">
        <f t="shared" si="26"/>
        <v>4</v>
      </c>
      <c r="L56" s="166">
        <f t="shared" si="26"/>
        <v>4</v>
      </c>
    </row>
    <row r="57" spans="1:19" s="36" customFormat="1" ht="12" x14ac:dyDescent="0.2">
      <c r="A57" s="50" t="str">
        <f t="shared" si="24"/>
        <v>≥ Level 1 MPO</v>
      </c>
      <c r="B57" s="166">
        <f t="shared" ref="B57:L57" si="27">ROUNDUP(IF(B$13="Deploy",MAX((B$69/100)*$B82,$B82),(B$69/100)*$B82),0)</f>
        <v>2</v>
      </c>
      <c r="C57" s="166">
        <f t="shared" si="27"/>
        <v>3</v>
      </c>
      <c r="D57" s="166">
        <f t="shared" si="27"/>
        <v>3</v>
      </c>
      <c r="E57" s="166">
        <f t="shared" si="27"/>
        <v>4</v>
      </c>
      <c r="F57" s="166">
        <f t="shared" si="27"/>
        <v>4</v>
      </c>
      <c r="G57" s="166">
        <f t="shared" si="27"/>
        <v>4</v>
      </c>
      <c r="H57" s="166">
        <f t="shared" si="27"/>
        <v>4</v>
      </c>
      <c r="I57" s="166">
        <f t="shared" si="27"/>
        <v>4</v>
      </c>
      <c r="J57" s="166">
        <f t="shared" si="27"/>
        <v>4</v>
      </c>
      <c r="K57" s="166">
        <f t="shared" si="27"/>
        <v>4</v>
      </c>
      <c r="L57" s="166">
        <f t="shared" si="27"/>
        <v>4</v>
      </c>
    </row>
    <row r="58" spans="1:19" ht="12" x14ac:dyDescent="0.2">
      <c r="A58" s="50" t="str">
        <f>A83</f>
        <v># Skilled Crews</v>
      </c>
      <c r="B58" s="166">
        <f t="shared" ref="B58:L58" si="28">ROUNDUP(IF(B$13="Deploy",MAX((B$69/100)*$B83,$B83),(B$69/100)*$B83),0)</f>
        <v>1</v>
      </c>
      <c r="C58" s="166">
        <f t="shared" si="28"/>
        <v>2</v>
      </c>
      <c r="D58" s="166">
        <f t="shared" si="28"/>
        <v>2</v>
      </c>
      <c r="E58" s="166">
        <f t="shared" si="28"/>
        <v>2</v>
      </c>
      <c r="F58" s="166">
        <f t="shared" si="28"/>
        <v>2</v>
      </c>
      <c r="G58" s="58">
        <f t="shared" si="28"/>
        <v>2</v>
      </c>
      <c r="H58" s="58">
        <f t="shared" si="28"/>
        <v>2</v>
      </c>
      <c r="I58" s="58">
        <f t="shared" si="28"/>
        <v>2</v>
      </c>
      <c r="J58" s="58">
        <f t="shared" si="28"/>
        <v>2</v>
      </c>
      <c r="K58" s="58">
        <f t="shared" si="28"/>
        <v>2</v>
      </c>
      <c r="L58" s="58">
        <f t="shared" si="28"/>
        <v>2</v>
      </c>
      <c r="M58" s="36"/>
      <c r="N58" s="36"/>
      <c r="O58" s="36"/>
      <c r="Q58" s="38"/>
      <c r="R58" s="38"/>
      <c r="S58" s="38"/>
    </row>
    <row r="60" spans="1:19" ht="12" x14ac:dyDescent="0.2">
      <c r="A60" s="60"/>
      <c r="B60" s="61"/>
      <c r="C60" s="36" t="s">
        <v>87</v>
      </c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</row>
    <row r="61" spans="1:19" ht="12" x14ac:dyDescent="0.2">
      <c r="A61" s="60"/>
      <c r="B61" s="63"/>
      <c r="C61" s="36" t="s">
        <v>88</v>
      </c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</row>
    <row r="62" spans="1:19" ht="12.75" thickBot="1" x14ac:dyDescent="0.25">
      <c r="A62" s="64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R62" s="37"/>
      <c r="S62" s="65"/>
    </row>
    <row r="63" spans="1:19" ht="15.75" customHeight="1" thickBot="1" x14ac:dyDescent="0.25">
      <c r="A63" s="298" t="s">
        <v>89</v>
      </c>
      <c r="B63" s="299"/>
      <c r="C63" s="299"/>
      <c r="D63" s="299"/>
      <c r="E63" s="299"/>
      <c r="F63" s="299"/>
      <c r="G63" s="299"/>
      <c r="H63" s="299"/>
      <c r="I63" s="299"/>
      <c r="J63" s="299"/>
      <c r="K63" s="299"/>
      <c r="L63" s="300"/>
      <c r="M63" s="201"/>
      <c r="N63" s="201"/>
      <c r="O63" s="201"/>
      <c r="P63" s="201"/>
      <c r="R63" s="38"/>
    </row>
    <row r="64" spans="1:19" ht="12" x14ac:dyDescent="0.2">
      <c r="A64" s="86" t="s">
        <v>90</v>
      </c>
      <c r="B64" s="87">
        <f t="shared" ref="B64:L64" si="29">MIN(100,B66+$B$70)</f>
        <v>27.476300232160561</v>
      </c>
      <c r="C64" s="87">
        <f t="shared" si="29"/>
        <v>82.476300232160554</v>
      </c>
      <c r="D64" s="87">
        <f t="shared" si="29"/>
        <v>92.476300232160554</v>
      </c>
      <c r="E64" s="87">
        <f t="shared" si="29"/>
        <v>92.476300232160554</v>
      </c>
      <c r="F64" s="87">
        <f t="shared" si="29"/>
        <v>92.476300232160554</v>
      </c>
      <c r="G64" s="87">
        <f t="shared" si="29"/>
        <v>100</v>
      </c>
      <c r="H64" s="87">
        <f t="shared" si="29"/>
        <v>100</v>
      </c>
      <c r="I64" s="87">
        <f t="shared" si="29"/>
        <v>100</v>
      </c>
      <c r="J64" s="87">
        <f t="shared" si="29"/>
        <v>100</v>
      </c>
      <c r="K64" s="87">
        <f t="shared" si="29"/>
        <v>100</v>
      </c>
      <c r="L64" s="88">
        <f t="shared" si="29"/>
        <v>100</v>
      </c>
      <c r="M64" s="36"/>
      <c r="O64" s="9"/>
      <c r="Q64" s="38"/>
      <c r="R64" s="38"/>
      <c r="S64" s="38"/>
    </row>
    <row r="65" spans="1:19" ht="12" x14ac:dyDescent="0.2">
      <c r="A65" s="89" t="s">
        <v>91</v>
      </c>
      <c r="B65" s="90">
        <f t="shared" ref="B65:L65" si="30">MIN(100,B66+$B$71)</f>
        <v>16.238150116080281</v>
      </c>
      <c r="C65" s="90">
        <f t="shared" si="30"/>
        <v>71.238150116080277</v>
      </c>
      <c r="D65" s="90">
        <f t="shared" si="30"/>
        <v>81.238150116080277</v>
      </c>
      <c r="E65" s="90">
        <f t="shared" si="30"/>
        <v>81.238150116080277</v>
      </c>
      <c r="F65" s="90">
        <f t="shared" si="30"/>
        <v>81.238150116080277</v>
      </c>
      <c r="G65" s="90">
        <f t="shared" si="30"/>
        <v>100</v>
      </c>
      <c r="H65" s="90">
        <f t="shared" si="30"/>
        <v>100</v>
      </c>
      <c r="I65" s="90">
        <f t="shared" si="30"/>
        <v>100</v>
      </c>
      <c r="J65" s="90">
        <f t="shared" si="30"/>
        <v>100</v>
      </c>
      <c r="K65" s="90">
        <f t="shared" si="30"/>
        <v>100</v>
      </c>
      <c r="L65" s="91">
        <f t="shared" si="30"/>
        <v>100</v>
      </c>
      <c r="M65" s="36"/>
      <c r="O65" s="9"/>
      <c r="Q65" s="38"/>
      <c r="R65" s="38"/>
      <c r="S65" s="38"/>
    </row>
    <row r="66" spans="1:19" ht="12" x14ac:dyDescent="0.2">
      <c r="A66" s="85" t="s">
        <v>92</v>
      </c>
      <c r="B66" s="115">
        <v>5</v>
      </c>
      <c r="C66" s="115">
        <v>60</v>
      </c>
      <c r="D66" s="115">
        <v>70</v>
      </c>
      <c r="E66" s="115">
        <v>70</v>
      </c>
      <c r="F66" s="115">
        <v>70</v>
      </c>
      <c r="G66" s="115">
        <v>100</v>
      </c>
      <c r="H66" s="115">
        <v>100</v>
      </c>
      <c r="I66" s="115">
        <v>100</v>
      </c>
      <c r="J66" s="115">
        <v>100</v>
      </c>
      <c r="K66" s="115">
        <v>100</v>
      </c>
      <c r="L66" s="116">
        <v>100</v>
      </c>
      <c r="M66" s="36"/>
      <c r="O66" s="9"/>
      <c r="Q66" s="38"/>
      <c r="R66" s="38"/>
      <c r="S66" s="38"/>
    </row>
    <row r="67" spans="1:19" ht="12" x14ac:dyDescent="0.2">
      <c r="A67" s="89" t="s">
        <v>93</v>
      </c>
      <c r="B67" s="117">
        <f t="shared" ref="B67:L67" si="31">MIN(80,IF(AND(B15&gt;=14,B15&lt;23),80,MAX(0,B66-$B$71)))</f>
        <v>0</v>
      </c>
      <c r="C67" s="117">
        <f t="shared" si="31"/>
        <v>48.761849883919723</v>
      </c>
      <c r="D67" s="117">
        <f t="shared" si="31"/>
        <v>58.761849883919723</v>
      </c>
      <c r="E67" s="117">
        <f t="shared" si="31"/>
        <v>58.761849883919723</v>
      </c>
      <c r="F67" s="117">
        <f t="shared" si="31"/>
        <v>80</v>
      </c>
      <c r="G67" s="117">
        <f t="shared" si="31"/>
        <v>80</v>
      </c>
      <c r="H67" s="117">
        <f t="shared" si="31"/>
        <v>80</v>
      </c>
      <c r="I67" s="117">
        <f t="shared" si="31"/>
        <v>80</v>
      </c>
      <c r="J67" s="117">
        <f t="shared" si="31"/>
        <v>80</v>
      </c>
      <c r="K67" s="117">
        <f t="shared" si="31"/>
        <v>80</v>
      </c>
      <c r="L67" s="205">
        <f t="shared" si="31"/>
        <v>80</v>
      </c>
      <c r="M67" s="36"/>
      <c r="O67" s="9"/>
      <c r="Q67" s="38"/>
      <c r="R67" s="38"/>
      <c r="S67" s="38"/>
    </row>
    <row r="68" spans="1:19" ht="12.75" thickBot="1" x14ac:dyDescent="0.25">
      <c r="A68" s="92" t="s">
        <v>94</v>
      </c>
      <c r="B68" s="103">
        <f t="shared" ref="B68:L68" si="32">MIN(60,IF(B13="Deploy",60,MAX(0,B66-$B$70)))</f>
        <v>0</v>
      </c>
      <c r="C68" s="103">
        <f t="shared" si="32"/>
        <v>37.523699767839439</v>
      </c>
      <c r="D68" s="103">
        <f t="shared" si="32"/>
        <v>47.523699767839439</v>
      </c>
      <c r="E68" s="103">
        <f t="shared" si="32"/>
        <v>47.523699767839439</v>
      </c>
      <c r="F68" s="103">
        <f t="shared" si="32"/>
        <v>47.523699767839439</v>
      </c>
      <c r="G68" s="103">
        <f t="shared" si="32"/>
        <v>60</v>
      </c>
      <c r="H68" s="103">
        <f t="shared" si="32"/>
        <v>60</v>
      </c>
      <c r="I68" s="103">
        <f t="shared" si="32"/>
        <v>60</v>
      </c>
      <c r="J68" s="103">
        <f t="shared" si="32"/>
        <v>60</v>
      </c>
      <c r="K68" s="103">
        <f t="shared" si="32"/>
        <v>60</v>
      </c>
      <c r="L68" s="104">
        <f t="shared" si="32"/>
        <v>60</v>
      </c>
      <c r="M68" s="36"/>
      <c r="O68" s="9"/>
      <c r="Q68" s="38"/>
      <c r="R68" s="38"/>
      <c r="S68" s="38"/>
    </row>
    <row r="69" spans="1:19" ht="12.75" thickBot="1" x14ac:dyDescent="0.25">
      <c r="A69" s="106" t="s">
        <v>95</v>
      </c>
      <c r="B69" s="107">
        <v>37</v>
      </c>
      <c r="C69" s="107">
        <v>68</v>
      </c>
      <c r="D69" s="107">
        <v>75</v>
      </c>
      <c r="E69" s="107">
        <v>85</v>
      </c>
      <c r="F69" s="107">
        <v>85</v>
      </c>
      <c r="G69" s="107">
        <v>100</v>
      </c>
      <c r="H69" s="107">
        <v>100</v>
      </c>
      <c r="I69" s="107">
        <v>100</v>
      </c>
      <c r="J69" s="107">
        <v>100</v>
      </c>
      <c r="K69" s="107">
        <v>100</v>
      </c>
      <c r="L69" s="108">
        <v>100</v>
      </c>
      <c r="M69" s="36"/>
      <c r="O69" s="9"/>
      <c r="Q69" s="38"/>
      <c r="R69" s="38"/>
      <c r="S69" s="38"/>
    </row>
    <row r="70" spans="1:19" x14ac:dyDescent="0.2">
      <c r="A70" s="93" t="s">
        <v>96</v>
      </c>
      <c r="B70" s="105">
        <f>SQRT(SUM(POWER(AVERAGE(B66:L66)-(B66:L66),2))/COUNT(B66:L66))*1</f>
        <v>22.476300232160561</v>
      </c>
      <c r="R70" s="38"/>
      <c r="S70" s="9"/>
    </row>
    <row r="71" spans="1:19" ht="12" thickBot="1" x14ac:dyDescent="0.25">
      <c r="A71" s="94" t="s">
        <v>97</v>
      </c>
      <c r="B71" s="95">
        <f>B70/2</f>
        <v>11.238150116080281</v>
      </c>
      <c r="R71" s="38"/>
      <c r="S71" s="9"/>
    </row>
    <row r="72" spans="1:19" ht="12" thickBot="1" x14ac:dyDescent="0.25">
      <c r="R72" s="38"/>
      <c r="S72" s="9"/>
    </row>
    <row r="73" spans="1:19" ht="13.5" thickBot="1" x14ac:dyDescent="0.25">
      <c r="A73" s="292" t="s">
        <v>98</v>
      </c>
      <c r="B73" s="293"/>
      <c r="R73" s="38"/>
      <c r="S73" s="38"/>
    </row>
    <row r="74" spans="1:19" ht="12.75" thickBot="1" x14ac:dyDescent="0.25">
      <c r="A74" s="294" t="s">
        <v>99</v>
      </c>
      <c r="B74" s="295"/>
      <c r="R74" s="38"/>
      <c r="S74" s="38"/>
    </row>
    <row r="75" spans="1:19" ht="12.75" thickTop="1" x14ac:dyDescent="0.2">
      <c r="A75" s="96" t="s">
        <v>100</v>
      </c>
      <c r="B75" s="97">
        <v>4</v>
      </c>
      <c r="R75" s="38"/>
      <c r="S75" s="38"/>
    </row>
    <row r="76" spans="1:19" ht="12" x14ac:dyDescent="0.2">
      <c r="A76" s="98" t="s">
        <v>101</v>
      </c>
      <c r="B76" s="195">
        <v>4</v>
      </c>
      <c r="R76" s="38"/>
      <c r="S76" s="38"/>
    </row>
    <row r="77" spans="1:19" ht="12" x14ac:dyDescent="0.2">
      <c r="A77" s="98" t="s">
        <v>102</v>
      </c>
      <c r="B77" s="195">
        <v>1</v>
      </c>
      <c r="R77" s="38"/>
      <c r="S77" s="38"/>
    </row>
    <row r="78" spans="1:19" ht="12" x14ac:dyDescent="0.2">
      <c r="A78" s="99" t="s">
        <v>103</v>
      </c>
      <c r="B78" s="195">
        <v>1</v>
      </c>
      <c r="R78" s="38"/>
      <c r="S78" s="38"/>
    </row>
    <row r="79" spans="1:19" ht="12" x14ac:dyDescent="0.2">
      <c r="A79" s="98" t="s">
        <v>104</v>
      </c>
      <c r="B79" s="195">
        <v>2</v>
      </c>
      <c r="R79" s="38"/>
      <c r="S79" s="38"/>
    </row>
    <row r="80" spans="1:19" ht="12" x14ac:dyDescent="0.2">
      <c r="A80" s="99" t="s">
        <v>105</v>
      </c>
      <c r="B80" s="100">
        <v>2</v>
      </c>
      <c r="R80" s="38"/>
      <c r="S80" s="38"/>
    </row>
    <row r="81" spans="1:22" ht="12" x14ac:dyDescent="0.2">
      <c r="A81" s="98" t="s">
        <v>106</v>
      </c>
      <c r="B81" s="100">
        <v>4</v>
      </c>
      <c r="R81" s="38"/>
      <c r="S81" s="38"/>
    </row>
    <row r="82" spans="1:22" ht="12" x14ac:dyDescent="0.2">
      <c r="A82" s="99" t="s">
        <v>107</v>
      </c>
      <c r="B82" s="100">
        <v>4</v>
      </c>
      <c r="R82" s="38"/>
      <c r="S82" s="38"/>
    </row>
    <row r="83" spans="1:22" ht="12.75" thickBot="1" x14ac:dyDescent="0.25">
      <c r="A83" s="101" t="s">
        <v>108</v>
      </c>
      <c r="B83" s="102">
        <v>2</v>
      </c>
      <c r="Q83" s="37"/>
    </row>
    <row r="84" spans="1:22" ht="12" thickBot="1" x14ac:dyDescent="0.25"/>
    <row r="85" spans="1:22" ht="13.5" thickBot="1" x14ac:dyDescent="0.25">
      <c r="A85" s="296" t="s">
        <v>109</v>
      </c>
      <c r="B85" s="297"/>
      <c r="C85" s="194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4"/>
      <c r="Q85" s="193"/>
      <c r="R85" s="193"/>
      <c r="S85" s="193"/>
      <c r="T85" s="193"/>
      <c r="U85" s="7"/>
      <c r="V85" s="3"/>
    </row>
    <row r="86" spans="1:22" ht="12" x14ac:dyDescent="0.2">
      <c r="A86" s="11" t="s">
        <v>110</v>
      </c>
      <c r="B86" s="12" t="s">
        <v>111</v>
      </c>
      <c r="C86" s="12" t="s">
        <v>111</v>
      </c>
      <c r="D86" s="12" t="s">
        <v>111</v>
      </c>
      <c r="E86" s="12" t="s">
        <v>111</v>
      </c>
      <c r="F86" s="12" t="s">
        <v>111</v>
      </c>
      <c r="G86" s="12"/>
      <c r="H86" s="12"/>
      <c r="I86" s="12"/>
      <c r="J86" s="12"/>
      <c r="K86" s="12"/>
      <c r="L86" s="13"/>
      <c r="M86" s="16"/>
      <c r="N86" s="16"/>
      <c r="O86" s="16"/>
      <c r="P86" s="16"/>
      <c r="Q86" s="7"/>
      <c r="R86" s="3"/>
      <c r="S86" s="38"/>
    </row>
    <row r="87" spans="1:22" ht="12.75" thickBot="1" x14ac:dyDescent="0.25">
      <c r="A87" s="14" t="s">
        <v>112</v>
      </c>
      <c r="B87" s="15"/>
      <c r="C87" s="15"/>
      <c r="D87" s="15"/>
      <c r="E87" s="15"/>
      <c r="F87" s="15"/>
      <c r="G87" s="15" t="s">
        <v>111</v>
      </c>
      <c r="H87" s="15" t="s">
        <v>111</v>
      </c>
      <c r="I87" s="15" t="s">
        <v>111</v>
      </c>
      <c r="J87" s="15" t="s">
        <v>111</v>
      </c>
      <c r="K87" s="15" t="s">
        <v>111</v>
      </c>
      <c r="L87" s="8" t="s">
        <v>111</v>
      </c>
      <c r="M87" s="16"/>
      <c r="N87" s="16"/>
      <c r="O87" s="16"/>
      <c r="P87" s="16"/>
      <c r="Q87" s="7"/>
      <c r="R87" s="3"/>
      <c r="S87" s="38"/>
    </row>
    <row r="88" spans="1:22" x14ac:dyDescent="0.2">
      <c r="Q88" s="66"/>
      <c r="R88" s="66"/>
      <c r="S88" s="66"/>
      <c r="T88" s="66"/>
      <c r="U88" s="66"/>
    </row>
    <row r="89" spans="1:22" ht="12" thickBot="1" x14ac:dyDescent="0.25">
      <c r="Q89" s="66"/>
      <c r="R89" s="66"/>
      <c r="S89" s="66"/>
      <c r="T89" s="66"/>
      <c r="U89" s="66"/>
    </row>
    <row r="90" spans="1:22" ht="12.75" x14ac:dyDescent="0.2">
      <c r="A90" s="120" t="s">
        <v>113</v>
      </c>
      <c r="B90" s="280" t="s">
        <v>114</v>
      </c>
      <c r="C90" s="281"/>
      <c r="D90" s="282" t="s">
        <v>115</v>
      </c>
      <c r="E90" s="283"/>
      <c r="F90" s="284" t="s">
        <v>116</v>
      </c>
      <c r="G90" s="285"/>
      <c r="I90" s="198" t="s">
        <v>117</v>
      </c>
      <c r="Q90" s="66"/>
      <c r="R90" s="66"/>
      <c r="S90" s="66"/>
      <c r="T90" s="66"/>
      <c r="U90" s="66"/>
    </row>
    <row r="91" spans="1:22" ht="12" x14ac:dyDescent="0.2">
      <c r="A91" s="121" t="s">
        <v>118</v>
      </c>
      <c r="B91" s="122">
        <v>1</v>
      </c>
      <c r="C91" s="122"/>
      <c r="D91" s="123"/>
      <c r="E91" s="123"/>
      <c r="F91" s="124"/>
      <c r="G91" s="125">
        <v>0</v>
      </c>
      <c r="I91" s="199" t="s">
        <v>17</v>
      </c>
      <c r="Q91" s="66"/>
      <c r="R91" s="66"/>
      <c r="S91" s="66"/>
      <c r="T91" s="66"/>
      <c r="U91" s="66"/>
    </row>
    <row r="92" spans="1:22" ht="12" x14ac:dyDescent="0.2">
      <c r="A92" s="121" t="s">
        <v>119</v>
      </c>
      <c r="B92" s="122">
        <v>1</v>
      </c>
      <c r="C92" s="122"/>
      <c r="D92" s="123"/>
      <c r="E92" s="123"/>
      <c r="F92" s="124"/>
      <c r="G92" s="125">
        <v>0</v>
      </c>
      <c r="Q92" s="66"/>
      <c r="R92" s="66"/>
      <c r="S92" s="66"/>
      <c r="T92" s="66"/>
      <c r="U92" s="66"/>
    </row>
    <row r="93" spans="1:22" ht="12" x14ac:dyDescent="0.2">
      <c r="A93" s="121" t="str">
        <f t="shared" ref="A93:A99" si="33">A39</f>
        <v>Ready MQ-8C Special Payload Collection/Full Motion Video Retransmission (C)</v>
      </c>
      <c r="B93" s="122" t="s">
        <v>120</v>
      </c>
      <c r="C93" s="122" t="s">
        <v>120</v>
      </c>
      <c r="D93" s="123" t="s">
        <v>120</v>
      </c>
      <c r="E93" s="123" t="s">
        <v>120</v>
      </c>
      <c r="F93" s="124" t="s">
        <v>120</v>
      </c>
      <c r="G93" s="125" t="s">
        <v>120</v>
      </c>
      <c r="Q93" s="66"/>
      <c r="R93" s="66"/>
      <c r="S93" s="66"/>
      <c r="T93" s="66"/>
      <c r="U93" s="66"/>
    </row>
    <row r="94" spans="1:22" ht="12" x14ac:dyDescent="0.2">
      <c r="A94" s="121" t="str">
        <f t="shared" si="33"/>
        <v>Ready MQ-8C MIW Mission Systems (D)</v>
      </c>
      <c r="B94" s="122">
        <v>1</v>
      </c>
      <c r="C94" s="122">
        <v>1</v>
      </c>
      <c r="D94" s="123"/>
      <c r="E94" s="123">
        <v>0</v>
      </c>
      <c r="F94" s="124">
        <v>0</v>
      </c>
      <c r="G94" s="125">
        <v>0</v>
      </c>
    </row>
    <row r="95" spans="1:22" ht="12" x14ac:dyDescent="0.2">
      <c r="A95" s="121" t="str">
        <f t="shared" si="33"/>
        <v>Ready MQ-8C SUW Mission Systems (E)</v>
      </c>
      <c r="B95" s="122" t="s">
        <v>120</v>
      </c>
      <c r="C95" s="122" t="s">
        <v>120</v>
      </c>
      <c r="D95" s="123" t="s">
        <v>120</v>
      </c>
      <c r="E95" s="123" t="s">
        <v>120</v>
      </c>
      <c r="F95" s="124" t="s">
        <v>120</v>
      </c>
      <c r="G95" s="125" t="s">
        <v>120</v>
      </c>
    </row>
    <row r="96" spans="1:22" ht="12" x14ac:dyDescent="0.2">
      <c r="A96" s="121" t="str">
        <f t="shared" si="33"/>
        <v>Ready MQ-8C Cold Weather Mission Systems (F)</v>
      </c>
      <c r="B96" s="122">
        <v>1</v>
      </c>
      <c r="C96" s="122">
        <v>1</v>
      </c>
      <c r="D96" s="123"/>
      <c r="E96" s="123">
        <v>0</v>
      </c>
      <c r="F96" s="124">
        <v>0</v>
      </c>
      <c r="G96" s="125">
        <v>0</v>
      </c>
    </row>
    <row r="97" spans="1:7" ht="12" x14ac:dyDescent="0.2">
      <c r="A97" s="121" t="str">
        <f t="shared" si="33"/>
        <v>Ready MQ-8C Weapons Support Mission Systems (G)</v>
      </c>
      <c r="B97" s="122" t="s">
        <v>120</v>
      </c>
      <c r="C97" s="122" t="s">
        <v>120</v>
      </c>
      <c r="D97" s="123" t="s">
        <v>120</v>
      </c>
      <c r="E97" s="123" t="s">
        <v>120</v>
      </c>
      <c r="F97" s="124" t="s">
        <v>120</v>
      </c>
      <c r="G97" s="125" t="s">
        <v>120</v>
      </c>
    </row>
    <row r="98" spans="1:7" ht="12" x14ac:dyDescent="0.2">
      <c r="A98" s="121" t="str">
        <f t="shared" si="33"/>
        <v>Ready MQ-8C Shipboard Mission Systems (K)</v>
      </c>
      <c r="B98" s="122">
        <v>1</v>
      </c>
      <c r="C98" s="122">
        <v>1</v>
      </c>
      <c r="D98" s="123"/>
      <c r="E98" s="123">
        <v>0</v>
      </c>
      <c r="F98" s="124">
        <v>0</v>
      </c>
      <c r="G98" s="125">
        <v>0</v>
      </c>
    </row>
    <row r="99" spans="1:7" ht="12" x14ac:dyDescent="0.2">
      <c r="A99" s="121" t="str">
        <f t="shared" si="33"/>
        <v>Ready MQ-8C IMC Flight Mission Systems (L)</v>
      </c>
      <c r="B99" s="122">
        <v>1</v>
      </c>
      <c r="C99" s="122">
        <v>1</v>
      </c>
      <c r="D99" s="123"/>
      <c r="E99" s="123">
        <v>0</v>
      </c>
      <c r="F99" s="124">
        <v>0</v>
      </c>
      <c r="G99" s="125">
        <v>0</v>
      </c>
    </row>
    <row r="100" spans="1:7" ht="12" x14ac:dyDescent="0.2">
      <c r="A100" s="155" t="str">
        <f>A47</f>
        <v>Assigned FLIR - AN/AAQ-22</v>
      </c>
      <c r="B100" s="156">
        <v>1</v>
      </c>
      <c r="C100" s="156">
        <v>1</v>
      </c>
      <c r="D100" s="157"/>
      <c r="E100" s="157">
        <v>0</v>
      </c>
      <c r="F100" s="158">
        <v>0</v>
      </c>
      <c r="G100" s="159">
        <v>0</v>
      </c>
    </row>
    <row r="101" spans="1:7" ht="12.75" thickBot="1" x14ac:dyDescent="0.25">
      <c r="A101" s="126" t="str">
        <f>A48</f>
        <v>Ready FLIR - AN/AAQ-22</v>
      </c>
      <c r="B101" s="127">
        <v>1</v>
      </c>
      <c r="C101" s="127">
        <v>1</v>
      </c>
      <c r="D101" s="128"/>
      <c r="E101" s="128">
        <v>0</v>
      </c>
      <c r="F101" s="129">
        <v>0</v>
      </c>
      <c r="G101" s="130">
        <v>0</v>
      </c>
    </row>
    <row r="102" spans="1:7" ht="12" x14ac:dyDescent="0.2">
      <c r="A102" s="143"/>
    </row>
    <row r="104" spans="1:7" x14ac:dyDescent="0.2">
      <c r="A104" s="244" t="s">
        <v>121</v>
      </c>
      <c r="B104" s="244" t="s">
        <v>125</v>
      </c>
    </row>
    <row r="105" spans="1:7" x14ac:dyDescent="0.2">
      <c r="A105" s="243" t="s">
        <v>123</v>
      </c>
      <c r="B105" s="245">
        <f>HLOOKUP($B$104,'MQ-8C Mission System Summary'!$B$1:$J$12,2,FALSE)</f>
        <v>0.49004312681167961</v>
      </c>
    </row>
    <row r="106" spans="1:7" x14ac:dyDescent="0.2">
      <c r="A106" s="243" t="s">
        <v>76</v>
      </c>
      <c r="B106" s="245">
        <f>HLOOKUP($B$104,'MQ-8C Mission System Summary'!$B$1:$J$12,3,FALSE)</f>
        <v>0</v>
      </c>
    </row>
    <row r="107" spans="1:7" x14ac:dyDescent="0.2">
      <c r="A107" s="243" t="s">
        <v>77</v>
      </c>
      <c r="B107" s="245">
        <f>HLOOKUP($B$104,'MQ-8C Mission System Summary'!$B$1:$J$12,4,FALSE)</f>
        <v>3.7847901397497226E-2</v>
      </c>
    </row>
    <row r="108" spans="1:7" x14ac:dyDescent="0.2">
      <c r="A108" s="243" t="s">
        <v>78</v>
      </c>
      <c r="B108" s="245">
        <f>HLOOKUP($B$104,'MQ-8C Mission System Summary'!$B$1:$J$12,5,FALSE)</f>
        <v>0</v>
      </c>
    </row>
    <row r="109" spans="1:7" x14ac:dyDescent="0.2">
      <c r="A109" s="243" t="s">
        <v>79</v>
      </c>
      <c r="B109" s="245">
        <f>HLOOKUP($B$104,'MQ-8C Mission System Summary'!$B$1:$J$12,6,FALSE)</f>
        <v>0.43228147903754155</v>
      </c>
    </row>
    <row r="110" spans="1:7" x14ac:dyDescent="0.2">
      <c r="A110" s="243" t="s">
        <v>80</v>
      </c>
      <c r="B110" s="245">
        <f>HLOOKUP($B$104,'MQ-8C Mission System Summary'!$B$1:$J$12,7,FALSE)</f>
        <v>0</v>
      </c>
    </row>
    <row r="111" spans="1:7" x14ac:dyDescent="0.2">
      <c r="A111" s="243" t="s">
        <v>81</v>
      </c>
      <c r="B111" s="245">
        <f>HLOOKUP($B$104,'MQ-8C Mission System Summary'!$B$1:$J$12,8,FALSE)</f>
        <v>0.43228147903754155</v>
      </c>
    </row>
    <row r="112" spans="1:7" x14ac:dyDescent="0.2">
      <c r="A112" s="243" t="s">
        <v>82</v>
      </c>
      <c r="B112" s="245">
        <f>HLOOKUP($B$104,'MQ-8C Mission System Summary'!$B$1:$J$12,9,FALSE)</f>
        <v>1</v>
      </c>
    </row>
  </sheetData>
  <dataConsolidate/>
  <mergeCells count="9">
    <mergeCell ref="M1:P1"/>
    <mergeCell ref="G16:L16"/>
    <mergeCell ref="B90:C90"/>
    <mergeCell ref="D90:E90"/>
    <mergeCell ref="F90:G90"/>
    <mergeCell ref="A73:B73"/>
    <mergeCell ref="A74:B74"/>
    <mergeCell ref="A85:B85"/>
    <mergeCell ref="A63:L63"/>
  </mergeCells>
  <conditionalFormatting sqref="C93 C98:C99">
    <cfRule type="cellIs" dxfId="57" priority="41" operator="equal">
      <formula>B93</formula>
    </cfRule>
  </conditionalFormatting>
  <conditionalFormatting sqref="D93:E93 D98:E99">
    <cfRule type="cellIs" dxfId="56" priority="42" operator="equal">
      <formula>C93</formula>
    </cfRule>
  </conditionalFormatting>
  <conditionalFormatting sqref="F98:F99">
    <cfRule type="cellIs" dxfId="55" priority="43" operator="equal">
      <formula>E98</formula>
    </cfRule>
    <cfRule type="cellIs" dxfId="54" priority="52" operator="equal">
      <formula>G98</formula>
    </cfRule>
  </conditionalFormatting>
  <conditionalFormatting sqref="F93">
    <cfRule type="cellIs" dxfId="53" priority="51" operator="equal">
      <formula>E93</formula>
    </cfRule>
  </conditionalFormatting>
  <conditionalFormatting sqref="E93">
    <cfRule type="cellIs" dxfId="52" priority="50" operator="equal">
      <formula>D93</formula>
    </cfRule>
  </conditionalFormatting>
  <conditionalFormatting sqref="F93">
    <cfRule type="cellIs" dxfId="51" priority="48" operator="equal">
      <formula>E93</formula>
    </cfRule>
  </conditionalFormatting>
  <conditionalFormatting sqref="C93">
    <cfRule type="cellIs" dxfId="50" priority="49" operator="equal">
      <formula>B93</formula>
    </cfRule>
  </conditionalFormatting>
  <conditionalFormatting sqref="E93">
    <cfRule type="cellIs" dxfId="49" priority="47" operator="equal">
      <formula>D93</formula>
    </cfRule>
  </conditionalFormatting>
  <conditionalFormatting sqref="F93">
    <cfRule type="cellIs" dxfId="48" priority="46" operator="equal">
      <formula>E93</formula>
    </cfRule>
  </conditionalFormatting>
  <conditionalFormatting sqref="C93">
    <cfRule type="cellIs" dxfId="47" priority="45" operator="equal">
      <formula>B93</formula>
    </cfRule>
  </conditionalFormatting>
  <conditionalFormatting sqref="D93">
    <cfRule type="cellIs" dxfId="46" priority="44" operator="equal">
      <formula>C93</formula>
    </cfRule>
  </conditionalFormatting>
  <conditionalFormatting sqref="E93">
    <cfRule type="cellIs" dxfId="45" priority="55" operator="equal">
      <formula>D93</formula>
    </cfRule>
  </conditionalFormatting>
  <conditionalFormatting sqref="D93">
    <cfRule type="cellIs" dxfId="44" priority="53" operator="equal">
      <formula>C93</formula>
    </cfRule>
  </conditionalFormatting>
  <conditionalFormatting sqref="C94:C95">
    <cfRule type="cellIs" dxfId="43" priority="30" operator="equal">
      <formula>B94</formula>
    </cfRule>
  </conditionalFormatting>
  <conditionalFormatting sqref="F94:F95">
    <cfRule type="cellIs" dxfId="42" priority="39" operator="equal">
      <formula>E94</formula>
    </cfRule>
  </conditionalFormatting>
  <conditionalFormatting sqref="E94:E95">
    <cfRule type="cellIs" dxfId="41" priority="38" operator="equal">
      <formula>D94</formula>
    </cfRule>
  </conditionalFormatting>
  <conditionalFormatting sqref="F94:F95">
    <cfRule type="cellIs" dxfId="40" priority="36" operator="equal">
      <formula>E94</formula>
    </cfRule>
  </conditionalFormatting>
  <conditionalFormatting sqref="C94:C95">
    <cfRule type="cellIs" dxfId="39" priority="37" operator="equal">
      <formula>B94</formula>
    </cfRule>
  </conditionalFormatting>
  <conditionalFormatting sqref="E94:E95">
    <cfRule type="cellIs" dxfId="38" priority="35" operator="equal">
      <formula>D94</formula>
    </cfRule>
  </conditionalFormatting>
  <conditionalFormatting sqref="F94:F95">
    <cfRule type="cellIs" dxfId="37" priority="34" operator="equal">
      <formula>E94</formula>
    </cfRule>
  </conditionalFormatting>
  <conditionalFormatting sqref="C94:C95">
    <cfRule type="cellIs" dxfId="36" priority="33" operator="equal">
      <formula>B94</formula>
    </cfRule>
  </conditionalFormatting>
  <conditionalFormatting sqref="D94:D95">
    <cfRule type="cellIs" dxfId="35" priority="32" operator="equal">
      <formula>C94</formula>
    </cfRule>
  </conditionalFormatting>
  <conditionalFormatting sqref="E94:E95">
    <cfRule type="cellIs" dxfId="34" priority="31" operator="equal">
      <formula>D94</formula>
    </cfRule>
  </conditionalFormatting>
  <conditionalFormatting sqref="D94:D95">
    <cfRule type="cellIs" dxfId="33" priority="40" operator="equal">
      <formula>C94</formula>
    </cfRule>
  </conditionalFormatting>
  <conditionalFormatting sqref="C96">
    <cfRule type="cellIs" dxfId="32" priority="19" operator="equal">
      <formula>B96</formula>
    </cfRule>
  </conditionalFormatting>
  <conditionalFormatting sqref="F96">
    <cfRule type="cellIs" dxfId="31" priority="28" operator="equal">
      <formula>E96</formula>
    </cfRule>
  </conditionalFormatting>
  <conditionalFormatting sqref="E96">
    <cfRule type="cellIs" dxfId="30" priority="27" operator="equal">
      <formula>D96</formula>
    </cfRule>
  </conditionalFormatting>
  <conditionalFormatting sqref="F96">
    <cfRule type="cellIs" dxfId="29" priority="25" operator="equal">
      <formula>E96</formula>
    </cfRule>
  </conditionalFormatting>
  <conditionalFormatting sqref="C96">
    <cfRule type="cellIs" dxfId="28" priority="26" operator="equal">
      <formula>B96</formula>
    </cfRule>
  </conditionalFormatting>
  <conditionalFormatting sqref="E96">
    <cfRule type="cellIs" dxfId="27" priority="24" operator="equal">
      <formula>D96</formula>
    </cfRule>
  </conditionalFormatting>
  <conditionalFormatting sqref="F96">
    <cfRule type="cellIs" dxfId="26" priority="23" operator="equal">
      <formula>E96</formula>
    </cfRule>
  </conditionalFormatting>
  <conditionalFormatting sqref="C96">
    <cfRule type="cellIs" dxfId="25" priority="22" operator="equal">
      <formula>B96</formula>
    </cfRule>
  </conditionalFormatting>
  <conditionalFormatting sqref="D96">
    <cfRule type="cellIs" dxfId="24" priority="21" operator="equal">
      <formula>C96</formula>
    </cfRule>
  </conditionalFormatting>
  <conditionalFormatting sqref="E96">
    <cfRule type="cellIs" dxfId="23" priority="20" operator="equal">
      <formula>D96</formula>
    </cfRule>
  </conditionalFormatting>
  <conditionalFormatting sqref="D96">
    <cfRule type="cellIs" dxfId="22" priority="29" operator="equal">
      <formula>C96</formula>
    </cfRule>
  </conditionalFormatting>
  <conditionalFormatting sqref="C97">
    <cfRule type="cellIs" dxfId="21" priority="8" operator="equal">
      <formula>B97</formula>
    </cfRule>
  </conditionalFormatting>
  <conditionalFormatting sqref="D97:E97">
    <cfRule type="cellIs" dxfId="20" priority="18" operator="equal">
      <formula>C97</formula>
    </cfRule>
  </conditionalFormatting>
  <conditionalFormatting sqref="F97">
    <cfRule type="cellIs" dxfId="19" priority="17" operator="equal">
      <formula>E97</formula>
    </cfRule>
  </conditionalFormatting>
  <conditionalFormatting sqref="E97">
    <cfRule type="cellIs" dxfId="18" priority="16" operator="equal">
      <formula>D97</formula>
    </cfRule>
  </conditionalFormatting>
  <conditionalFormatting sqref="F97">
    <cfRule type="cellIs" dxfId="17" priority="14" operator="equal">
      <formula>E97</formula>
    </cfRule>
  </conditionalFormatting>
  <conditionalFormatting sqref="C97">
    <cfRule type="cellIs" dxfId="16" priority="15" operator="equal">
      <formula>B97</formula>
    </cfRule>
  </conditionalFormatting>
  <conditionalFormatting sqref="E97">
    <cfRule type="cellIs" dxfId="15" priority="13" operator="equal">
      <formula>D97</formula>
    </cfRule>
  </conditionalFormatting>
  <conditionalFormatting sqref="F97">
    <cfRule type="cellIs" dxfId="14" priority="12" operator="equal">
      <formula>E97</formula>
    </cfRule>
  </conditionalFormatting>
  <conditionalFormatting sqref="C97">
    <cfRule type="cellIs" dxfId="13" priority="11" operator="equal">
      <formula>B97</formula>
    </cfRule>
  </conditionalFormatting>
  <conditionalFormatting sqref="D97">
    <cfRule type="cellIs" dxfId="12" priority="10" operator="equal">
      <formula>C97</formula>
    </cfRule>
  </conditionalFormatting>
  <conditionalFormatting sqref="E97">
    <cfRule type="cellIs" dxfId="11" priority="9" operator="equal">
      <formula>D97</formula>
    </cfRule>
  </conditionalFormatting>
  <conditionalFormatting sqref="D97">
    <cfRule type="cellIs" dxfId="10" priority="54" operator="equal">
      <formula>C97</formula>
    </cfRule>
  </conditionalFormatting>
  <conditionalFormatting sqref="C100:C101">
    <cfRule type="cellIs" dxfId="9" priority="1" operator="equal">
      <formula>#REF!</formula>
    </cfRule>
  </conditionalFormatting>
  <conditionalFormatting sqref="D100:E101">
    <cfRule type="cellIs" dxfId="8" priority="2" operator="equal">
      <formula>#REF!</formula>
    </cfRule>
  </conditionalFormatting>
  <conditionalFormatting sqref="F100:F101">
    <cfRule type="cellIs" dxfId="7" priority="3" operator="equal">
      <formula>#REF!</formula>
    </cfRule>
    <cfRule type="cellIs" dxfId="6" priority="4" operator="equal">
      <formula>#REF!</formula>
    </cfRule>
  </conditionalFormatting>
  <conditionalFormatting sqref="C91:C92">
    <cfRule type="cellIs" dxfId="5" priority="5" operator="equal">
      <formula>#REF!</formula>
    </cfRule>
  </conditionalFormatting>
  <conditionalFormatting sqref="D91:E92">
    <cfRule type="cellIs" dxfId="4" priority="6" operator="equal">
      <formula>#REF!</formula>
    </cfRule>
  </conditionalFormatting>
  <conditionalFormatting sqref="F91:F92">
    <cfRule type="cellIs" dxfId="3" priority="7" operator="equal">
      <formula>#REF!</formula>
    </cfRule>
  </conditionalFormatting>
  <hyperlinks>
    <hyperlink ref="J2" location="Inventory!A1" display="Inventory" xr:uid="{00000000-0004-0000-0300-000000000000}"/>
    <hyperlink ref="J3" location="'MQ-8C MIW 1 Plane - 2 Crew'!A116" display="AMFOM" xr:uid="{00000000-0004-0000-0300-000001000000}"/>
    <hyperlink ref="I90" location="'MQ-8C MIW 1 Plane - 2 Crew'!A1" display="Top" xr:uid="{00000000-0004-0000-0300-000002000000}"/>
    <hyperlink ref="I91" location="Inventory!A1" display="Inventory" xr:uid="{00000000-0004-0000-0300-000003000000}"/>
  </hyperlinks>
  <printOptions horizontalCentered="1"/>
  <pageMargins left="0.5" right="0.5" top="0.52" bottom="1" header="0.5" footer="0.5"/>
  <pageSetup paperSize="3" scale="7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5"/>
  <sheetViews>
    <sheetView showGridLines="0" zoomScaleNormal="100" workbookViewId="0">
      <selection activeCell="C1" sqref="C1"/>
    </sheetView>
  </sheetViews>
  <sheetFormatPr defaultColWidth="9.140625" defaultRowHeight="12.75" x14ac:dyDescent="0.2"/>
  <cols>
    <col min="1" max="1" width="9.140625" style="135"/>
    <col min="2" max="2" width="12.42578125" style="137" customWidth="1"/>
    <col min="3" max="3" width="49.42578125" style="132" customWidth="1"/>
    <col min="4" max="4" width="5.7109375" style="135" customWidth="1"/>
    <col min="5" max="7" width="5.7109375" style="134" customWidth="1"/>
    <col min="8" max="14" width="5.7109375" style="135" customWidth="1"/>
    <col min="15" max="16384" width="9.140625" style="135"/>
  </cols>
  <sheetData>
    <row r="1" spans="1:14" ht="15.75" x14ac:dyDescent="0.25">
      <c r="A1" s="161" t="s">
        <v>14</v>
      </c>
      <c r="B1" s="133">
        <v>44197</v>
      </c>
      <c r="C1" s="197" t="s">
        <v>17</v>
      </c>
      <c r="D1" s="307" t="s">
        <v>126</v>
      </c>
      <c r="E1" s="307"/>
      <c r="F1" s="307"/>
      <c r="G1" s="307"/>
      <c r="H1" s="307"/>
      <c r="I1" s="307"/>
      <c r="J1" s="307"/>
      <c r="K1" s="307"/>
      <c r="L1" s="307"/>
      <c r="M1" s="307"/>
      <c r="N1" s="307"/>
    </row>
    <row r="2" spans="1:14" ht="390.75" thickBot="1" x14ac:dyDescent="0.25">
      <c r="B2" s="251"/>
      <c r="C2" s="258" t="s">
        <v>127</v>
      </c>
      <c r="D2" s="259" t="s">
        <v>118</v>
      </c>
      <c r="E2" s="260" t="s">
        <v>119</v>
      </c>
      <c r="F2" s="259" t="s">
        <v>76</v>
      </c>
      <c r="G2" s="260" t="s">
        <v>77</v>
      </c>
      <c r="H2" s="259" t="s">
        <v>78</v>
      </c>
      <c r="I2" s="260" t="s">
        <v>79</v>
      </c>
      <c r="J2" s="259" t="s">
        <v>80</v>
      </c>
      <c r="K2" s="260" t="s">
        <v>81</v>
      </c>
      <c r="L2" s="259" t="s">
        <v>82</v>
      </c>
      <c r="M2" s="260" t="s">
        <v>84</v>
      </c>
      <c r="N2" s="259" t="s">
        <v>85</v>
      </c>
    </row>
    <row r="3" spans="1:14" ht="17.25" customHeight="1" x14ac:dyDescent="0.2">
      <c r="A3" s="308" t="s">
        <v>128</v>
      </c>
      <c r="B3" s="265" t="s">
        <v>129</v>
      </c>
      <c r="C3" s="261" t="s">
        <v>130</v>
      </c>
      <c r="D3" s="262" t="s">
        <v>111</v>
      </c>
      <c r="E3" s="262" t="s">
        <v>111</v>
      </c>
      <c r="F3" s="262"/>
      <c r="G3" s="262"/>
      <c r="H3" s="262"/>
      <c r="I3" s="262" t="s">
        <v>111</v>
      </c>
      <c r="J3" s="262"/>
      <c r="K3" s="262" t="s">
        <v>111</v>
      </c>
      <c r="L3" s="262" t="s">
        <v>111</v>
      </c>
      <c r="M3" s="262"/>
      <c r="N3" s="267"/>
    </row>
    <row r="4" spans="1:14" ht="17.25" customHeight="1" x14ac:dyDescent="0.2">
      <c r="A4" s="309"/>
      <c r="B4" s="266" t="s">
        <v>131</v>
      </c>
      <c r="C4" s="263" t="s">
        <v>132</v>
      </c>
      <c r="D4" s="264" t="s">
        <v>111</v>
      </c>
      <c r="E4" s="264" t="s">
        <v>111</v>
      </c>
      <c r="F4" s="264"/>
      <c r="G4" s="264" t="s">
        <v>111</v>
      </c>
      <c r="H4" s="264"/>
      <c r="I4" s="264" t="s">
        <v>111</v>
      </c>
      <c r="J4" s="264"/>
      <c r="K4" s="264" t="s">
        <v>111</v>
      </c>
      <c r="L4" s="264" t="s">
        <v>111</v>
      </c>
      <c r="M4" s="264"/>
      <c r="N4" s="268"/>
    </row>
    <row r="5" spans="1:14" ht="17.25" customHeight="1" x14ac:dyDescent="0.2">
      <c r="A5" s="309"/>
      <c r="B5" s="266" t="s">
        <v>133</v>
      </c>
      <c r="C5" s="263" t="s">
        <v>134</v>
      </c>
      <c r="D5" s="264" t="s">
        <v>111</v>
      </c>
      <c r="E5" s="264" t="s">
        <v>111</v>
      </c>
      <c r="F5" s="264"/>
      <c r="G5" s="264"/>
      <c r="H5" s="264"/>
      <c r="I5" s="264"/>
      <c r="J5" s="264"/>
      <c r="K5" s="264"/>
      <c r="L5" s="264" t="s">
        <v>111</v>
      </c>
      <c r="M5" s="264" t="s">
        <v>111</v>
      </c>
      <c r="N5" s="268" t="s">
        <v>111</v>
      </c>
    </row>
    <row r="6" spans="1:14" ht="17.25" customHeight="1" x14ac:dyDescent="0.2">
      <c r="A6" s="309"/>
      <c r="B6" s="266" t="s">
        <v>135</v>
      </c>
      <c r="C6" s="263" t="s">
        <v>136</v>
      </c>
      <c r="D6" s="264" t="s">
        <v>111</v>
      </c>
      <c r="E6" s="264" t="s">
        <v>111</v>
      </c>
      <c r="F6" s="264"/>
      <c r="G6" s="264"/>
      <c r="H6" s="264"/>
      <c r="I6" s="264"/>
      <c r="J6" s="264"/>
      <c r="K6" s="264"/>
      <c r="L6" s="264" t="s">
        <v>111</v>
      </c>
      <c r="M6" s="264" t="s">
        <v>111</v>
      </c>
      <c r="N6" s="268" t="s">
        <v>111</v>
      </c>
    </row>
    <row r="7" spans="1:14" ht="17.25" customHeight="1" thickBot="1" x14ac:dyDescent="0.25">
      <c r="A7" s="310"/>
      <c r="B7" s="269" t="s">
        <v>137</v>
      </c>
      <c r="C7" s="270" t="s">
        <v>138</v>
      </c>
      <c r="D7" s="271" t="s">
        <v>111</v>
      </c>
      <c r="E7" s="271" t="s">
        <v>111</v>
      </c>
      <c r="F7" s="271"/>
      <c r="G7" s="271"/>
      <c r="H7" s="271"/>
      <c r="I7" s="271"/>
      <c r="J7" s="271"/>
      <c r="K7" s="271"/>
      <c r="L7" s="271" t="s">
        <v>111</v>
      </c>
      <c r="M7" s="271" t="s">
        <v>111</v>
      </c>
      <c r="N7" s="272" t="s">
        <v>111</v>
      </c>
    </row>
    <row r="15" spans="1:14" x14ac:dyDescent="0.2">
      <c r="E15" s="131"/>
    </row>
    <row r="16" spans="1:14" x14ac:dyDescent="0.2">
      <c r="E16" s="131"/>
    </row>
    <row r="17" spans="4:5" x14ac:dyDescent="0.2">
      <c r="E17" s="131"/>
    </row>
    <row r="18" spans="4:5" x14ac:dyDescent="0.2">
      <c r="E18" s="131"/>
    </row>
    <row r="19" spans="4:5" x14ac:dyDescent="0.2">
      <c r="D19" s="136"/>
      <c r="E19" s="131"/>
    </row>
    <row r="20" spans="4:5" x14ac:dyDescent="0.2">
      <c r="E20" s="131"/>
    </row>
    <row r="21" spans="4:5" x14ac:dyDescent="0.2">
      <c r="E21" s="131"/>
    </row>
    <row r="22" spans="4:5" x14ac:dyDescent="0.2">
      <c r="E22" s="131"/>
    </row>
    <row r="23" spans="4:5" x14ac:dyDescent="0.2">
      <c r="E23" s="131"/>
    </row>
    <row r="24" spans="4:5" x14ac:dyDescent="0.2">
      <c r="E24" s="131"/>
    </row>
    <row r="25" spans="4:5" x14ac:dyDescent="0.2">
      <c r="E25" s="131"/>
    </row>
    <row r="26" spans="4:5" x14ac:dyDescent="0.2">
      <c r="E26" s="131"/>
    </row>
    <row r="27" spans="4:5" x14ac:dyDescent="0.2">
      <c r="E27" s="131"/>
    </row>
    <row r="28" spans="4:5" x14ac:dyDescent="0.2">
      <c r="E28" s="131"/>
    </row>
    <row r="29" spans="4:5" x14ac:dyDescent="0.2">
      <c r="E29" s="131"/>
    </row>
    <row r="30" spans="4:5" x14ac:dyDescent="0.2">
      <c r="E30" s="131"/>
    </row>
    <row r="31" spans="4:5" x14ac:dyDescent="0.2">
      <c r="E31" s="131"/>
    </row>
    <row r="32" spans="4:5" x14ac:dyDescent="0.2">
      <c r="E32" s="131"/>
    </row>
    <row r="33" spans="5:5" x14ac:dyDescent="0.2">
      <c r="E33" s="131"/>
    </row>
    <row r="34" spans="5:5" x14ac:dyDescent="0.2">
      <c r="E34" s="131"/>
    </row>
    <row r="35" spans="5:5" x14ac:dyDescent="0.2">
      <c r="E35" s="131"/>
    </row>
  </sheetData>
  <mergeCells count="2">
    <mergeCell ref="D1:N1"/>
    <mergeCell ref="A3:A7"/>
  </mergeCells>
  <conditionalFormatting sqref="D3:N7">
    <cfRule type="cellIs" dxfId="2" priority="1" operator="equal">
      <formula>""</formula>
    </cfRule>
  </conditionalFormatting>
  <hyperlinks>
    <hyperlink ref="C1" location="Inventory!A1" display="Inventory" xr:uid="{00000000-0004-0000-0400-000000000000}"/>
  </hyperlinks>
  <pageMargins left="0.7" right="0.7" top="0.75" bottom="0.75" header="0.3" footer="0.3"/>
  <pageSetup paperSize="5" scale="41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4"/>
  <sheetViews>
    <sheetView showGridLines="0" zoomScaleNormal="100" workbookViewId="0">
      <selection activeCell="C1" sqref="C1"/>
    </sheetView>
  </sheetViews>
  <sheetFormatPr defaultColWidth="9.140625" defaultRowHeight="12.75" x14ac:dyDescent="0.2"/>
  <cols>
    <col min="1" max="1" width="9.140625" style="135"/>
    <col min="2" max="2" width="12.42578125" style="137" customWidth="1"/>
    <col min="3" max="3" width="49.42578125" style="132" customWidth="1"/>
    <col min="4" max="4" width="5.7109375" style="135" customWidth="1"/>
    <col min="5" max="7" width="5.7109375" style="134" customWidth="1"/>
    <col min="8" max="14" width="5.7109375" style="135" customWidth="1"/>
    <col min="15" max="16384" width="9.140625" style="135"/>
  </cols>
  <sheetData>
    <row r="1" spans="1:14" ht="15.75" x14ac:dyDescent="0.25">
      <c r="A1" s="161" t="s">
        <v>14</v>
      </c>
      <c r="B1" s="133">
        <v>44197</v>
      </c>
      <c r="C1" s="197" t="s">
        <v>17</v>
      </c>
      <c r="D1" s="307" t="s">
        <v>126</v>
      </c>
      <c r="E1" s="307"/>
      <c r="F1" s="307"/>
      <c r="G1" s="307"/>
      <c r="H1" s="307"/>
      <c r="I1" s="307"/>
      <c r="J1" s="307"/>
      <c r="K1" s="307"/>
      <c r="L1" s="307"/>
      <c r="M1" s="307"/>
      <c r="N1" s="307"/>
    </row>
    <row r="2" spans="1:14" ht="390.75" thickBot="1" x14ac:dyDescent="0.25">
      <c r="B2" s="251"/>
      <c r="C2" s="258" t="s">
        <v>139</v>
      </c>
      <c r="D2" s="259" t="s">
        <v>118</v>
      </c>
      <c r="E2" s="260" t="s">
        <v>119</v>
      </c>
      <c r="F2" s="259" t="s">
        <v>76</v>
      </c>
      <c r="G2" s="260" t="s">
        <v>77</v>
      </c>
      <c r="H2" s="259" t="s">
        <v>78</v>
      </c>
      <c r="I2" s="260" t="s">
        <v>79</v>
      </c>
      <c r="J2" s="259" t="s">
        <v>80</v>
      </c>
      <c r="K2" s="260" t="s">
        <v>81</v>
      </c>
      <c r="L2" s="259" t="s">
        <v>82</v>
      </c>
      <c r="M2" s="260" t="s">
        <v>84</v>
      </c>
      <c r="N2" s="259" t="s">
        <v>85</v>
      </c>
    </row>
    <row r="3" spans="1:14" ht="17.25" customHeight="1" x14ac:dyDescent="0.2">
      <c r="A3" s="308" t="s">
        <v>128</v>
      </c>
      <c r="B3" s="265" t="s">
        <v>129</v>
      </c>
      <c r="C3" s="261" t="s">
        <v>130</v>
      </c>
      <c r="D3" s="262" t="s">
        <v>111</v>
      </c>
      <c r="E3" s="262" t="s">
        <v>111</v>
      </c>
      <c r="F3" s="262"/>
      <c r="G3" s="262"/>
      <c r="H3" s="262"/>
      <c r="I3" s="262" t="s">
        <v>111</v>
      </c>
      <c r="J3" s="262"/>
      <c r="K3" s="262" t="s">
        <v>111</v>
      </c>
      <c r="L3" s="262" t="s">
        <v>111</v>
      </c>
      <c r="M3" s="262"/>
      <c r="N3" s="267"/>
    </row>
    <row r="4" spans="1:14" ht="17.25" customHeight="1" x14ac:dyDescent="0.2">
      <c r="A4" s="309"/>
      <c r="B4" s="266" t="s">
        <v>133</v>
      </c>
      <c r="C4" s="263" t="s">
        <v>134</v>
      </c>
      <c r="D4" s="264" t="s">
        <v>111</v>
      </c>
      <c r="E4" s="264" t="s">
        <v>111</v>
      </c>
      <c r="F4" s="264"/>
      <c r="G4" s="264"/>
      <c r="H4" s="264" t="s">
        <v>111</v>
      </c>
      <c r="I4" s="264"/>
      <c r="J4" s="264"/>
      <c r="K4" s="264"/>
      <c r="L4" s="264" t="s">
        <v>111</v>
      </c>
      <c r="M4" s="264" t="s">
        <v>111</v>
      </c>
      <c r="N4" s="268" t="s">
        <v>111</v>
      </c>
    </row>
    <row r="5" spans="1:14" ht="17.25" customHeight="1" x14ac:dyDescent="0.2">
      <c r="A5" s="309"/>
      <c r="B5" s="266" t="s">
        <v>135</v>
      </c>
      <c r="C5" s="263" t="s">
        <v>136</v>
      </c>
      <c r="D5" s="264" t="s">
        <v>111</v>
      </c>
      <c r="E5" s="264" t="s">
        <v>111</v>
      </c>
      <c r="F5" s="264"/>
      <c r="G5" s="264"/>
      <c r="H5" s="264" t="s">
        <v>111</v>
      </c>
      <c r="I5" s="264"/>
      <c r="J5" s="264"/>
      <c r="K5" s="264"/>
      <c r="L5" s="264" t="s">
        <v>111</v>
      </c>
      <c r="M5" s="264" t="s">
        <v>111</v>
      </c>
      <c r="N5" s="268" t="s">
        <v>111</v>
      </c>
    </row>
    <row r="6" spans="1:14" ht="17.25" customHeight="1" thickBot="1" x14ac:dyDescent="0.25">
      <c r="A6" s="310"/>
      <c r="B6" s="269" t="s">
        <v>137</v>
      </c>
      <c r="C6" s="270" t="s">
        <v>138</v>
      </c>
      <c r="D6" s="271" t="s">
        <v>111</v>
      </c>
      <c r="E6" s="271" t="s">
        <v>111</v>
      </c>
      <c r="F6" s="271"/>
      <c r="G6" s="271"/>
      <c r="H6" s="271" t="s">
        <v>111</v>
      </c>
      <c r="I6" s="271"/>
      <c r="J6" s="271"/>
      <c r="K6" s="271"/>
      <c r="L6" s="271" t="s">
        <v>111</v>
      </c>
      <c r="M6" s="271" t="s">
        <v>111</v>
      </c>
      <c r="N6" s="272" t="s">
        <v>111</v>
      </c>
    </row>
    <row r="14" spans="1:14" x14ac:dyDescent="0.2">
      <c r="E14" s="131"/>
    </row>
    <row r="15" spans="1:14" x14ac:dyDescent="0.2">
      <c r="E15" s="131"/>
    </row>
    <row r="16" spans="1:14" x14ac:dyDescent="0.2">
      <c r="E16" s="131"/>
    </row>
    <row r="17" spans="4:5" x14ac:dyDescent="0.2">
      <c r="E17" s="131"/>
    </row>
    <row r="18" spans="4:5" x14ac:dyDescent="0.2">
      <c r="D18" s="136"/>
      <c r="E18" s="131"/>
    </row>
    <row r="19" spans="4:5" x14ac:dyDescent="0.2">
      <c r="E19" s="131"/>
    </row>
    <row r="20" spans="4:5" x14ac:dyDescent="0.2">
      <c r="E20" s="131"/>
    </row>
    <row r="21" spans="4:5" x14ac:dyDescent="0.2">
      <c r="E21" s="131"/>
    </row>
    <row r="22" spans="4:5" x14ac:dyDescent="0.2">
      <c r="E22" s="131"/>
    </row>
    <row r="23" spans="4:5" x14ac:dyDescent="0.2">
      <c r="E23" s="131"/>
    </row>
    <row r="24" spans="4:5" x14ac:dyDescent="0.2">
      <c r="E24" s="131"/>
    </row>
    <row r="25" spans="4:5" x14ac:dyDescent="0.2">
      <c r="E25" s="131"/>
    </row>
    <row r="26" spans="4:5" x14ac:dyDescent="0.2">
      <c r="E26" s="131"/>
    </row>
    <row r="27" spans="4:5" x14ac:dyDescent="0.2">
      <c r="E27" s="131"/>
    </row>
    <row r="28" spans="4:5" x14ac:dyDescent="0.2">
      <c r="E28" s="131"/>
    </row>
    <row r="29" spans="4:5" x14ac:dyDescent="0.2">
      <c r="E29" s="131"/>
    </row>
    <row r="30" spans="4:5" x14ac:dyDescent="0.2">
      <c r="E30" s="131"/>
    </row>
    <row r="31" spans="4:5" x14ac:dyDescent="0.2">
      <c r="E31" s="131"/>
    </row>
    <row r="32" spans="4:5" x14ac:dyDescent="0.2">
      <c r="E32" s="131"/>
    </row>
    <row r="33" spans="5:5" x14ac:dyDescent="0.2">
      <c r="E33" s="131"/>
    </row>
    <row r="34" spans="5:5" x14ac:dyDescent="0.2">
      <c r="E34" s="131"/>
    </row>
  </sheetData>
  <mergeCells count="2">
    <mergeCell ref="D1:N1"/>
    <mergeCell ref="A3:A6"/>
  </mergeCells>
  <conditionalFormatting sqref="D3:N6">
    <cfRule type="cellIs" dxfId="1" priority="1" operator="equal">
      <formula>""</formula>
    </cfRule>
  </conditionalFormatting>
  <hyperlinks>
    <hyperlink ref="C1" location="Inventory!A1" display="Inventory" xr:uid="{00000000-0004-0000-0500-000000000000}"/>
  </hyperlinks>
  <pageMargins left="0.7" right="0.7" top="0.75" bottom="0.75" header="0.3" footer="0.3"/>
  <pageSetup paperSize="5" scale="41" orientation="landscape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9"/>
  <sheetViews>
    <sheetView showGridLines="0" workbookViewId="0">
      <selection activeCell="H1" sqref="H1"/>
    </sheetView>
  </sheetViews>
  <sheetFormatPr defaultRowHeight="12.75" x14ac:dyDescent="0.2"/>
  <cols>
    <col min="1" max="1" width="64.7109375" style="135" bestFit="1" customWidth="1"/>
    <col min="2" max="3" width="26.7109375" style="135" bestFit="1" customWidth="1"/>
    <col min="4" max="9" width="9.140625" style="135"/>
    <col min="10" max="10" width="12.7109375" style="135" bestFit="1" customWidth="1"/>
    <col min="11" max="16384" width="9.140625" style="135"/>
  </cols>
  <sheetData>
    <row r="1" spans="1:13" ht="18.75" x14ac:dyDescent="0.3">
      <c r="A1" s="241" t="s">
        <v>140</v>
      </c>
      <c r="B1" s="241" t="s">
        <v>125</v>
      </c>
      <c r="C1" s="241" t="s">
        <v>122</v>
      </c>
      <c r="H1" s="252" t="s">
        <v>17</v>
      </c>
      <c r="J1" s="255">
        <v>44859</v>
      </c>
      <c r="K1" s="256"/>
      <c r="L1" s="257"/>
      <c r="M1" s="257"/>
    </row>
    <row r="2" spans="1:13" x14ac:dyDescent="0.2">
      <c r="A2" s="162" t="s">
        <v>123</v>
      </c>
      <c r="B2" s="253">
        <f>(LARGE(_xlfn.UNIQUE(B3:B9),1)+LARGE(_xlfn.UNIQUE(B3:B9),2)+LARGE(_xlfn.UNIQUE(B3:B9),3))/3</f>
        <v>0.49004312681167961</v>
      </c>
      <c r="C2" s="253">
        <f>(LARGE(_xlfn.UNIQUE(C3:C9),1)+LARGE(_xlfn.UNIQUE(C3:C9),2)+LARGE(_xlfn.UNIQUE(C3:C9),3))/3</f>
        <v>0.66666666666666663</v>
      </c>
    </row>
    <row r="3" spans="1:13" x14ac:dyDescent="0.2">
      <c r="A3" s="162" t="s">
        <v>76</v>
      </c>
      <c r="B3" s="254">
        <v>0</v>
      </c>
      <c r="C3" s="254">
        <v>0</v>
      </c>
    </row>
    <row r="4" spans="1:13" x14ac:dyDescent="0.2">
      <c r="A4" s="162" t="s">
        <v>77</v>
      </c>
      <c r="B4" s="254">
        <v>3.7847901397497226E-2</v>
      </c>
      <c r="C4" s="254">
        <v>0</v>
      </c>
    </row>
    <row r="5" spans="1:13" x14ac:dyDescent="0.2">
      <c r="A5" s="162" t="s">
        <v>78</v>
      </c>
      <c r="B5" s="254">
        <v>0</v>
      </c>
      <c r="C5" s="254">
        <v>0.59005070174149465</v>
      </c>
    </row>
    <row r="6" spans="1:13" x14ac:dyDescent="0.2">
      <c r="A6" s="162" t="s">
        <v>79</v>
      </c>
      <c r="B6" s="254">
        <v>0.43228147903754155</v>
      </c>
      <c r="C6" s="254">
        <v>0.4099492982585054</v>
      </c>
    </row>
    <row r="7" spans="1:13" x14ac:dyDescent="0.2">
      <c r="A7" s="162" t="s">
        <v>80</v>
      </c>
      <c r="B7" s="254">
        <v>0</v>
      </c>
      <c r="C7" s="254">
        <v>0</v>
      </c>
    </row>
    <row r="8" spans="1:13" x14ac:dyDescent="0.2">
      <c r="A8" s="162" t="s">
        <v>81</v>
      </c>
      <c r="B8" s="254">
        <v>0.43228147903754155</v>
      </c>
      <c r="C8" s="254">
        <v>0.4099492982585054</v>
      </c>
    </row>
    <row r="9" spans="1:13" x14ac:dyDescent="0.2">
      <c r="A9" s="162" t="s">
        <v>82</v>
      </c>
      <c r="B9" s="254">
        <v>1</v>
      </c>
      <c r="C9" s="254">
        <v>1</v>
      </c>
    </row>
    <row r="17" spans="1:1" ht="15.75" x14ac:dyDescent="0.25">
      <c r="A17" s="249" t="s">
        <v>141</v>
      </c>
    </row>
    <row r="18" spans="1:1" x14ac:dyDescent="0.2">
      <c r="A18" s="250" t="s">
        <v>125</v>
      </c>
    </row>
    <row r="19" spans="1:1" x14ac:dyDescent="0.2">
      <c r="A19" s="250" t="s">
        <v>122</v>
      </c>
    </row>
  </sheetData>
  <conditionalFormatting sqref="B2:C2">
    <cfRule type="cellIs" dxfId="0" priority="1" operator="between">
      <formula>0.9</formula>
      <formula>0.99</formula>
    </cfRule>
  </conditionalFormatting>
  <hyperlinks>
    <hyperlink ref="H1" location="Inventory!A1" display="Inventory" xr:uid="{00000000-0004-0000-06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CDAB2F88775145B114997D7E3EC086" ma:contentTypeVersion="5" ma:contentTypeDescription="Create a new document." ma:contentTypeScope="" ma:versionID="ac8e86be52442a466a4d1d49b35ea697">
  <xsd:schema xmlns:xsd="http://www.w3.org/2001/XMLSchema" xmlns:xs="http://www.w3.org/2001/XMLSchema" xmlns:p="http://schemas.microsoft.com/office/2006/metadata/properties" xmlns:ns2="f33575d1-c635-47cb-9f2e-8b33b5cd6ba3" targetNamespace="http://schemas.microsoft.com/office/2006/metadata/properties" ma:root="true" ma:fieldsID="4f20e3f97fa5e7b089bcd9af969c5083" ns2:_="">
    <xsd:import namespace="f33575d1-c635-47cb-9f2e-8b33b5cd6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575d1-c635-47cb-9f2e-8b33b5cd6b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CA45230B-8EDB-4D4D-A2CC-872C1BBCD5D0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33575d1-c635-47cb-9f2e-8b33b5cd6ba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D180CCB-C52B-4AD5-A92C-563481ABA3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575d1-c635-47cb-9f2e-8b33b5cd6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E6CF20-9294-44E6-959E-B3C8F411B5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Inventory</vt:lpstr>
      <vt:lpstr>Log</vt:lpstr>
      <vt:lpstr>MQ-8C SUW 1 Plane - 2 Crew</vt:lpstr>
      <vt:lpstr>MQ-8C MIW 1 Plane - 2 Crew</vt:lpstr>
      <vt:lpstr>MQ-8C Matrix MIW</vt:lpstr>
      <vt:lpstr>MQ-8C Matrix SUW</vt:lpstr>
      <vt:lpstr>MQ-8C Mission System Summary</vt:lpstr>
      <vt:lpstr>'MQ-8C MIW 1 Plane - 2 Crew'!Print_Area</vt:lpstr>
      <vt:lpstr>'MQ-8C SUW 1 Plane - 2 Crew'!Print_Area</vt:lpstr>
    </vt:vector>
  </TitlesOfParts>
  <Manager/>
  <Company>NMCI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</dc:title>
  <dc:subject/>
  <dc:creator>michael.fleetwood</dc:creator>
  <cp:keywords/>
  <dc:description/>
  <cp:lastModifiedBy>Mark Bodoh</cp:lastModifiedBy>
  <cp:revision/>
  <dcterms:created xsi:type="dcterms:W3CDTF">2011-09-21T16:19:20Z</dcterms:created>
  <dcterms:modified xsi:type="dcterms:W3CDTF">2023-04-06T00:23:44Z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0x010100EBCDAB2F88775145B114997D7E3EC086</vt:lpwstr>
  </property>
  <property fmtid="{D5CDD505-2E9C-101B-9397-08002B2CF9AE}" pid="3" name="_dlc_DocIdItemGuid">
    <vt:lpwstr>e8f2ff56-1017-477e-ae8b-767f970a1446</vt:lpwstr>
  </property>
  <property fmtid="{D5CDD505-2E9C-101B-9397-08002B2CF9AE}" pid="4" name="Order">
    <vt:r8>27900</vt:r8>
  </property>
  <property fmtid="{D5CDD505-2E9C-101B-9397-08002B2CF9AE}" pid="5" name="MSIP_Label_afe64f26-154f-4743-927e-a7310aa86873_Enabled">
    <vt:lpwstr>true</vt:lpwstr>
  </property>
  <property fmtid="{D5CDD505-2E9C-101B-9397-08002B2CF9AE}" pid="6" name="MSIP_Label_afe64f26-154f-4743-927e-a7310aa86873_SetDate">
    <vt:lpwstr>2023-04-06T00:23:23Z</vt:lpwstr>
  </property>
  <property fmtid="{D5CDD505-2E9C-101B-9397-08002B2CF9AE}" pid="7" name="MSIP_Label_afe64f26-154f-4743-927e-a7310aa86873_Method">
    <vt:lpwstr>Privileged</vt:lpwstr>
  </property>
  <property fmtid="{D5CDD505-2E9C-101B-9397-08002B2CF9AE}" pid="8" name="MSIP_Label_afe64f26-154f-4743-927e-a7310aa86873_Name">
    <vt:lpwstr>GovernmentData</vt:lpwstr>
  </property>
  <property fmtid="{D5CDD505-2E9C-101B-9397-08002B2CF9AE}" pid="9" name="MSIP_Label_afe64f26-154f-4743-927e-a7310aa86873_SiteId">
    <vt:lpwstr>29ac9fa0-83e8-40a8-914f-a74b1c9c46d0</vt:lpwstr>
  </property>
  <property fmtid="{D5CDD505-2E9C-101B-9397-08002B2CF9AE}" pid="10" name="MSIP_Label_afe64f26-154f-4743-927e-a7310aa86873_ActionId">
    <vt:lpwstr>3e15ef69-99c6-4839-b0cc-907a68d0bc70</vt:lpwstr>
  </property>
  <property fmtid="{D5CDD505-2E9C-101B-9397-08002B2CF9AE}" pid="11" name="MSIP_Label_afe64f26-154f-4743-927e-a7310aa86873_ContentBits">
    <vt:lpwstr>0</vt:lpwstr>
  </property>
</Properties>
</file>